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eeds to be Sorted\"/>
    </mc:Choice>
  </mc:AlternateContent>
  <xr:revisionPtr revIDLastSave="0" documentId="13_ncr:1_{F41A7FE6-885D-4A36-9674-182922449711}" xr6:coauthVersionLast="47" xr6:coauthVersionMax="47" xr10:uidLastSave="{00000000-0000-0000-0000-000000000000}"/>
  <bookViews>
    <workbookView xWindow="25080" yWindow="225" windowWidth="25440" windowHeight="15270" activeTab="6" xr2:uid="{F1C7E56B-55B0-47EF-AFAD-D55528557EFE}"/>
  </bookViews>
  <sheets>
    <sheet name="Non-Union Positions" sheetId="1" r:id="rId1"/>
    <sheet name="49ers - Public Works" sheetId="2" r:id="rId2"/>
    <sheet name="49ers - Parks" sheetId="3" r:id="rId3"/>
    <sheet name="LELS" sheetId="4" r:id="rId4"/>
    <sheet name="IAFF" sheetId="5" r:id="rId5"/>
    <sheet name="Teamsters" sheetId="6" r:id="rId6"/>
    <sheet name="Seasonal &amp; Intern" sheetId="7" r:id="rId7"/>
  </sheets>
  <definedNames>
    <definedName name="_xlnm._FilterDatabase" localSheetId="6" hidden="1">'Seasonal &amp; Intern'!$D$1:$D$17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1" l="1"/>
  <c r="L51" i="1"/>
  <c r="M51" i="1"/>
  <c r="N51" i="1"/>
  <c r="O51" i="1"/>
  <c r="J51" i="1"/>
  <c r="I51" i="1"/>
  <c r="H51" i="1"/>
  <c r="O49" i="1"/>
  <c r="N49" i="1"/>
  <c r="M49" i="1"/>
  <c r="L49" i="1"/>
  <c r="K49" i="1"/>
  <c r="K50" i="1" s="1"/>
  <c r="J49" i="1"/>
  <c r="J50" i="1" s="1"/>
  <c r="I49" i="1"/>
  <c r="H49" i="1"/>
  <c r="O74" i="1"/>
  <c r="O76" i="1" s="1"/>
  <c r="N74" i="1"/>
  <c r="N76" i="1" s="1"/>
  <c r="M74" i="1"/>
  <c r="M76" i="1" s="1"/>
  <c r="L74" i="1"/>
  <c r="L76" i="1" s="1"/>
  <c r="K74" i="1"/>
  <c r="K76" i="1" s="1"/>
  <c r="J74" i="1"/>
  <c r="J76" i="1" s="1"/>
  <c r="I74" i="1"/>
  <c r="I75" i="1" s="1"/>
  <c r="H74" i="1"/>
  <c r="H76" i="1" s="1"/>
  <c r="O82" i="1"/>
  <c r="O84" i="1" s="1"/>
  <c r="N82" i="1"/>
  <c r="N84" i="1" s="1"/>
  <c r="M82" i="1"/>
  <c r="M84" i="1" s="1"/>
  <c r="L82" i="1"/>
  <c r="L84" i="1" s="1"/>
  <c r="K82" i="1"/>
  <c r="K84" i="1" s="1"/>
  <c r="J82" i="1"/>
  <c r="J84" i="1" s="1"/>
  <c r="I82" i="1"/>
  <c r="I83" i="1" s="1"/>
  <c r="H82" i="1"/>
  <c r="H83" i="1" s="1"/>
  <c r="L45" i="1"/>
  <c r="O90" i="1"/>
  <c r="O92" i="1" s="1"/>
  <c r="N90" i="1"/>
  <c r="N92" i="1" s="1"/>
  <c r="M90" i="1"/>
  <c r="M92" i="1" s="1"/>
  <c r="L90" i="1"/>
  <c r="L92" i="1" s="1"/>
  <c r="K90" i="1"/>
  <c r="K92" i="1" s="1"/>
  <c r="J90" i="1"/>
  <c r="J92" i="1" s="1"/>
  <c r="I90" i="1"/>
  <c r="I92" i="1" s="1"/>
  <c r="H90" i="1"/>
  <c r="H91" i="1" s="1"/>
  <c r="O86" i="1"/>
  <c r="O87" i="1" s="1"/>
  <c r="N86" i="1"/>
  <c r="N88" i="1" s="1"/>
  <c r="M86" i="1"/>
  <c r="M88" i="1" s="1"/>
  <c r="L86" i="1"/>
  <c r="L87" i="1" s="1"/>
  <c r="K86" i="1"/>
  <c r="K88" i="1" s="1"/>
  <c r="J86" i="1"/>
  <c r="J88" i="1" s="1"/>
  <c r="I86" i="1"/>
  <c r="I88" i="1" s="1"/>
  <c r="H86" i="1"/>
  <c r="H88" i="1" s="1"/>
  <c r="O78" i="1"/>
  <c r="O80" i="1" s="1"/>
  <c r="N78" i="1"/>
  <c r="N79" i="1" s="1"/>
  <c r="M78" i="1"/>
  <c r="M79" i="1" s="1"/>
  <c r="L78" i="1"/>
  <c r="L79" i="1" s="1"/>
  <c r="K78" i="1"/>
  <c r="K79" i="1" s="1"/>
  <c r="J78" i="1"/>
  <c r="J79" i="1" s="1"/>
  <c r="I78" i="1"/>
  <c r="I79" i="1" s="1"/>
  <c r="H78" i="1"/>
  <c r="H80" i="1" s="1"/>
  <c r="O70" i="1"/>
  <c r="O72" i="1" s="1"/>
  <c r="N70" i="1"/>
  <c r="N72" i="1" s="1"/>
  <c r="M70" i="1"/>
  <c r="M72" i="1" s="1"/>
  <c r="L70" i="1"/>
  <c r="L72" i="1" s="1"/>
  <c r="K70" i="1"/>
  <c r="K72" i="1" s="1"/>
  <c r="J70" i="1"/>
  <c r="J71" i="1" s="1"/>
  <c r="I70" i="1"/>
  <c r="I72" i="1" s="1"/>
  <c r="H70" i="1"/>
  <c r="H72" i="1" s="1"/>
  <c r="N63" i="1"/>
  <c r="O63" i="1"/>
  <c r="M63" i="1"/>
  <c r="L63" i="1"/>
  <c r="K63" i="1"/>
  <c r="J63" i="1"/>
  <c r="I63" i="1"/>
  <c r="H63" i="1"/>
  <c r="O59" i="1"/>
  <c r="N59" i="1"/>
  <c r="M59" i="1"/>
  <c r="L59" i="1"/>
  <c r="K59" i="1"/>
  <c r="J59" i="1"/>
  <c r="I59" i="1"/>
  <c r="H59" i="1"/>
  <c r="O53" i="1"/>
  <c r="N53" i="1"/>
  <c r="M53" i="1"/>
  <c r="L53" i="1"/>
  <c r="K53" i="1"/>
  <c r="J53" i="1"/>
  <c r="I53" i="1"/>
  <c r="H53" i="1"/>
  <c r="O45" i="1"/>
  <c r="N45" i="1"/>
  <c r="M45" i="1"/>
  <c r="K45" i="1"/>
  <c r="J45" i="1"/>
  <c r="I45" i="1"/>
  <c r="H45" i="1"/>
  <c r="O38" i="1"/>
  <c r="N38" i="1"/>
  <c r="M38" i="1"/>
  <c r="L38" i="1"/>
  <c r="K38" i="1"/>
  <c r="J38" i="1"/>
  <c r="I38" i="1"/>
  <c r="H38" i="1"/>
  <c r="O33" i="1"/>
  <c r="N33" i="1"/>
  <c r="M33" i="1"/>
  <c r="L33" i="1"/>
  <c r="K33" i="1"/>
  <c r="J33" i="1"/>
  <c r="I33" i="1"/>
  <c r="H33" i="1"/>
  <c r="O29" i="1"/>
  <c r="N29" i="1"/>
  <c r="M29" i="1"/>
  <c r="L29" i="1"/>
  <c r="K29" i="1"/>
  <c r="J29" i="1"/>
  <c r="I29" i="1"/>
  <c r="H29" i="1"/>
  <c r="O25" i="1"/>
  <c r="N25" i="1"/>
  <c r="M25" i="1"/>
  <c r="L25" i="1"/>
  <c r="K25" i="1"/>
  <c r="J25" i="1"/>
  <c r="I25" i="1"/>
  <c r="H25" i="1"/>
  <c r="J72" i="1" l="1"/>
  <c r="H50" i="1"/>
  <c r="I50" i="1"/>
  <c r="L50" i="1"/>
  <c r="M50" i="1"/>
  <c r="N50" i="1"/>
  <c r="O50" i="1"/>
  <c r="H71" i="1"/>
  <c r="M71" i="1"/>
  <c r="O71" i="1"/>
  <c r="N71" i="1"/>
  <c r="L71" i="1"/>
  <c r="K71" i="1"/>
  <c r="I71" i="1"/>
  <c r="I76" i="1"/>
  <c r="J75" i="1"/>
  <c r="K75" i="1"/>
  <c r="L75" i="1"/>
  <c r="H75" i="1"/>
  <c r="M75" i="1"/>
  <c r="N75" i="1"/>
  <c r="O75" i="1"/>
  <c r="H79" i="1"/>
  <c r="O79" i="1"/>
  <c r="N80" i="1"/>
  <c r="M80" i="1"/>
  <c r="L80" i="1"/>
  <c r="H92" i="1"/>
  <c r="K80" i="1"/>
  <c r="O88" i="1"/>
  <c r="J80" i="1"/>
  <c r="H84" i="1"/>
  <c r="I80" i="1"/>
  <c r="I84" i="1"/>
  <c r="J83" i="1"/>
  <c r="K83" i="1"/>
  <c r="L83" i="1"/>
  <c r="M83" i="1"/>
  <c r="N83" i="1"/>
  <c r="O83" i="1"/>
  <c r="L91" i="1"/>
  <c r="H87" i="1"/>
  <c r="N91" i="1"/>
  <c r="N87" i="1"/>
  <c r="M91" i="1"/>
  <c r="M87" i="1"/>
  <c r="K91" i="1"/>
  <c r="K87" i="1"/>
  <c r="O91" i="1"/>
  <c r="L88" i="1"/>
  <c r="J91" i="1"/>
  <c r="J87" i="1"/>
  <c r="I91" i="1"/>
  <c r="I87" i="1"/>
  <c r="O21" i="1"/>
  <c r="N21" i="1"/>
  <c r="M21" i="1"/>
  <c r="L21" i="1"/>
  <c r="K21" i="1"/>
  <c r="J21" i="1"/>
  <c r="I21" i="1"/>
  <c r="H21" i="1"/>
  <c r="O17" i="1"/>
  <c r="N17" i="1"/>
  <c r="M17" i="1"/>
  <c r="L17" i="1"/>
  <c r="K17" i="1"/>
  <c r="J17" i="1"/>
  <c r="I17" i="1"/>
  <c r="H17" i="1"/>
  <c r="O9" i="1"/>
  <c r="N9" i="1"/>
  <c r="M9" i="1"/>
  <c r="L9" i="1"/>
  <c r="K9" i="1"/>
  <c r="J9" i="1"/>
  <c r="I9" i="1"/>
  <c r="H9" i="1"/>
  <c r="O5" i="1"/>
  <c r="N5" i="1"/>
  <c r="M5" i="1"/>
  <c r="L5" i="1"/>
  <c r="K5" i="1"/>
  <c r="J5" i="1"/>
  <c r="I5" i="1"/>
  <c r="H5" i="1"/>
  <c r="I60" i="1" l="1"/>
  <c r="J60" i="1"/>
  <c r="K60" i="1"/>
  <c r="L60" i="1"/>
  <c r="M60" i="1"/>
  <c r="N60" i="1"/>
  <c r="O60" i="1"/>
  <c r="I61" i="1"/>
  <c r="J61" i="1"/>
  <c r="K61" i="1"/>
  <c r="L61" i="1"/>
  <c r="M61" i="1"/>
  <c r="N61" i="1"/>
  <c r="O61" i="1"/>
  <c r="H60" i="1"/>
  <c r="E41" i="2"/>
  <c r="E42" i="2"/>
  <c r="E43" i="2"/>
  <c r="E40" i="2"/>
  <c r="E21" i="5"/>
  <c r="E20" i="5"/>
  <c r="E19" i="5"/>
  <c r="E18" i="5"/>
  <c r="E17" i="5"/>
  <c r="E14" i="5"/>
  <c r="E13" i="5"/>
  <c r="E12" i="5"/>
  <c r="E11" i="5"/>
  <c r="E10" i="5"/>
  <c r="E6" i="4"/>
  <c r="E7" i="4"/>
  <c r="E8" i="4"/>
  <c r="E5" i="4"/>
  <c r="E2" i="4"/>
  <c r="E9" i="6"/>
  <c r="E10" i="6"/>
  <c r="E11" i="6"/>
  <c r="E12" i="6"/>
  <c r="E8" i="6"/>
  <c r="E3" i="6"/>
  <c r="E4" i="6"/>
  <c r="E2" i="6"/>
  <c r="E25" i="5"/>
  <c r="E26" i="5"/>
  <c r="E27" i="5"/>
  <c r="E28" i="5"/>
  <c r="E24" i="5"/>
  <c r="E4" i="5"/>
  <c r="E5" i="5"/>
  <c r="E6" i="5"/>
  <c r="E7" i="5"/>
  <c r="E3" i="5"/>
  <c r="E9" i="3"/>
  <c r="E10" i="3"/>
  <c r="E11" i="3"/>
  <c r="E8" i="3"/>
  <c r="E3" i="3"/>
  <c r="E4" i="3"/>
  <c r="E5" i="3"/>
  <c r="E2" i="3"/>
  <c r="E47" i="2"/>
  <c r="E48" i="2"/>
  <c r="E49" i="2"/>
  <c r="E46" i="2"/>
  <c r="E35" i="2"/>
  <c r="E36" i="2"/>
  <c r="E37" i="2"/>
  <c r="E34" i="2"/>
  <c r="E29" i="2"/>
  <c r="E30" i="2"/>
  <c r="E31" i="2"/>
  <c r="E28" i="2"/>
  <c r="E23" i="2"/>
  <c r="E24" i="2"/>
  <c r="E25" i="2"/>
  <c r="E22" i="2"/>
  <c r="E17" i="2"/>
  <c r="E18" i="2"/>
  <c r="E19" i="2"/>
  <c r="E16" i="2"/>
  <c r="E11" i="2"/>
  <c r="E12" i="2"/>
  <c r="E13" i="2"/>
  <c r="E10" i="2"/>
  <c r="E3" i="2"/>
  <c r="E4" i="2"/>
  <c r="E5" i="2"/>
  <c r="E6" i="2"/>
  <c r="E7" i="2"/>
  <c r="E2" i="2"/>
  <c r="O65" i="1" l="1"/>
  <c r="C24" i="5" l="1"/>
  <c r="C25" i="5"/>
  <c r="C26" i="5"/>
  <c r="C27" i="5"/>
  <c r="C28" i="5"/>
  <c r="C6" i="4"/>
  <c r="O26" i="1"/>
  <c r="C18" i="5" l="1"/>
  <c r="C19" i="5"/>
  <c r="C20" i="5"/>
  <c r="C21" i="5"/>
  <c r="C17" i="5"/>
  <c r="C11" i="5"/>
  <c r="C12" i="5"/>
  <c r="C13" i="5"/>
  <c r="C14" i="5"/>
  <c r="C10" i="5"/>
  <c r="C4" i="5"/>
  <c r="C5" i="5"/>
  <c r="C6" i="5"/>
  <c r="C7" i="5"/>
  <c r="C3" i="5"/>
  <c r="C7" i="4"/>
  <c r="C8" i="4"/>
  <c r="C5" i="4"/>
  <c r="C2" i="4"/>
  <c r="C9" i="3"/>
  <c r="C11" i="3"/>
  <c r="C8" i="3"/>
  <c r="B10" i="3"/>
  <c r="C10" i="3" s="1"/>
  <c r="B9" i="3"/>
  <c r="B8" i="3"/>
  <c r="C5" i="3"/>
  <c r="B12" i="2"/>
  <c r="C12" i="2" s="1"/>
  <c r="B11" i="2"/>
  <c r="C11" i="2" s="1"/>
  <c r="B10" i="2"/>
  <c r="C10" i="2" s="1"/>
  <c r="C49" i="2"/>
  <c r="C41" i="2"/>
  <c r="C42" i="2"/>
  <c r="C43" i="2"/>
  <c r="C40" i="2"/>
  <c r="C29" i="2"/>
  <c r="C30" i="2"/>
  <c r="C31" i="2"/>
  <c r="C28" i="2"/>
  <c r="C25" i="2"/>
  <c r="C19" i="2"/>
  <c r="C13" i="2"/>
  <c r="C3" i="2"/>
  <c r="C4" i="2"/>
  <c r="C5" i="2"/>
  <c r="C6" i="2"/>
  <c r="C7" i="2"/>
  <c r="C2" i="2"/>
  <c r="C35" i="2"/>
  <c r="C36" i="2"/>
  <c r="C37" i="2"/>
  <c r="C34" i="2"/>
  <c r="C9" i="6" l="1"/>
  <c r="C10" i="6"/>
  <c r="C11" i="6"/>
  <c r="C12" i="6"/>
  <c r="C8" i="6"/>
  <c r="C4" i="6"/>
  <c r="C3" i="6"/>
  <c r="C2" i="6"/>
  <c r="B16" i="2" l="1"/>
  <c r="C16" i="2" s="1"/>
  <c r="B17" i="2"/>
  <c r="C17" i="2" s="1"/>
  <c r="B18" i="2"/>
  <c r="C18" i="2" s="1"/>
  <c r="B22" i="2"/>
  <c r="C22" i="2" s="1"/>
  <c r="B23" i="2"/>
  <c r="C23" i="2" s="1"/>
  <c r="B24" i="2"/>
  <c r="C24" i="2" s="1"/>
  <c r="B46" i="2"/>
  <c r="C46" i="2" s="1"/>
  <c r="B47" i="2"/>
  <c r="C47" i="2" s="1"/>
  <c r="B48" i="2"/>
  <c r="C48" i="2" s="1"/>
  <c r="B2" i="3" l="1"/>
  <c r="C2" i="3" s="1"/>
  <c r="B3" i="3"/>
  <c r="C3" i="3" s="1"/>
  <c r="B4" i="3"/>
  <c r="C4" i="3" s="1"/>
  <c r="H65" i="1" l="1"/>
  <c r="H64" i="1"/>
  <c r="K55" i="1"/>
  <c r="J55" i="1"/>
  <c r="H55" i="1"/>
  <c r="K54" i="1"/>
  <c r="J54" i="1"/>
  <c r="H54" i="1"/>
  <c r="L55" i="1"/>
  <c r="I55" i="1"/>
  <c r="K47" i="1"/>
  <c r="J47" i="1"/>
  <c r="H47" i="1"/>
  <c r="K46" i="1"/>
  <c r="J46" i="1"/>
  <c r="H46" i="1"/>
  <c r="I46" i="1"/>
  <c r="K40" i="1"/>
  <c r="J40" i="1"/>
  <c r="H40" i="1"/>
  <c r="K39" i="1"/>
  <c r="J39" i="1"/>
  <c r="H39" i="1"/>
  <c r="I40" i="1"/>
  <c r="K35" i="1"/>
  <c r="H35" i="1"/>
  <c r="K34" i="1"/>
  <c r="H34" i="1"/>
  <c r="J35" i="1"/>
  <c r="I35" i="1"/>
  <c r="H31" i="1"/>
  <c r="H30" i="1"/>
  <c r="I31" i="1"/>
  <c r="K27" i="1"/>
  <c r="H27" i="1"/>
  <c r="K26" i="1"/>
  <c r="H26" i="1"/>
  <c r="H23" i="1"/>
  <c r="H22" i="1"/>
  <c r="M22" i="1"/>
  <c r="H19" i="1"/>
  <c r="H18" i="1"/>
  <c r="I19" i="1"/>
  <c r="H11" i="1"/>
  <c r="H10" i="1"/>
  <c r="I10" i="1"/>
  <c r="M55" i="1" l="1"/>
  <c r="M54" i="1"/>
  <c r="K23" i="1"/>
  <c r="N54" i="1"/>
  <c r="M23" i="1"/>
  <c r="L35" i="1"/>
  <c r="L47" i="1"/>
  <c r="L23" i="1"/>
  <c r="K22" i="1"/>
  <c r="L40" i="1"/>
  <c r="L27" i="1"/>
  <c r="I65" i="1"/>
  <c r="I64" i="1"/>
  <c r="I34" i="1"/>
  <c r="I47" i="1"/>
  <c r="N55" i="1"/>
  <c r="I54" i="1"/>
  <c r="L54" i="1"/>
  <c r="L46" i="1"/>
  <c r="I39" i="1"/>
  <c r="L39" i="1"/>
  <c r="J34" i="1"/>
  <c r="L34" i="1"/>
  <c r="I30" i="1"/>
  <c r="I26" i="1"/>
  <c r="I27" i="1"/>
  <c r="J27" i="1"/>
  <c r="J26" i="1"/>
  <c r="L26" i="1"/>
  <c r="J23" i="1"/>
  <c r="J22" i="1"/>
  <c r="I22" i="1"/>
  <c r="I23" i="1"/>
  <c r="L22" i="1"/>
  <c r="I18" i="1"/>
  <c r="I11" i="1"/>
  <c r="H7" i="1"/>
  <c r="H6" i="1"/>
  <c r="O55" i="1" l="1"/>
  <c r="O54" i="1"/>
  <c r="J64" i="1"/>
  <c r="J65" i="1"/>
  <c r="K10" i="1"/>
  <c r="K11" i="1"/>
  <c r="M40" i="1"/>
  <c r="M39" i="1"/>
  <c r="N23" i="1"/>
  <c r="M46" i="1"/>
  <c r="M47" i="1"/>
  <c r="N22" i="1"/>
  <c r="M34" i="1"/>
  <c r="M35" i="1"/>
  <c r="K31" i="1"/>
  <c r="K30" i="1"/>
  <c r="J19" i="1"/>
  <c r="M27" i="1"/>
  <c r="M26" i="1"/>
  <c r="I6" i="1"/>
  <c r="I7" i="1"/>
  <c r="J6" i="1"/>
  <c r="J7" i="1"/>
  <c r="J30" i="1"/>
  <c r="J31" i="1"/>
  <c r="J18" i="1"/>
  <c r="J10" i="1"/>
  <c r="J11" i="1"/>
  <c r="N47" i="1" l="1"/>
  <c r="N46" i="1"/>
  <c r="L11" i="1"/>
  <c r="L10" i="1"/>
  <c r="N26" i="1"/>
  <c r="N27" i="1"/>
  <c r="K19" i="1"/>
  <c r="K18" i="1"/>
  <c r="N39" i="1"/>
  <c r="N40" i="1"/>
  <c r="L31" i="1"/>
  <c r="L30" i="1"/>
  <c r="N35" i="1"/>
  <c r="N34" i="1"/>
  <c r="O22" i="1"/>
  <c r="O23" i="1"/>
  <c r="K64" i="1"/>
  <c r="K65" i="1"/>
  <c r="K7" i="1"/>
  <c r="K6" i="1"/>
  <c r="L65" i="1" l="1"/>
  <c r="L64" i="1"/>
  <c r="L19" i="1"/>
  <c r="L18" i="1"/>
  <c r="M31" i="1"/>
  <c r="M30" i="1"/>
  <c r="O27" i="1"/>
  <c r="O34" i="1"/>
  <c r="O35" i="1"/>
  <c r="M11" i="1"/>
  <c r="M10" i="1"/>
  <c r="O46" i="1"/>
  <c r="O47" i="1"/>
  <c r="O40" i="1"/>
  <c r="O39" i="1"/>
  <c r="L7" i="1"/>
  <c r="L6" i="1"/>
  <c r="M19" i="1" l="1"/>
  <c r="M18" i="1"/>
  <c r="N31" i="1"/>
  <c r="N30" i="1"/>
  <c r="N11" i="1"/>
  <c r="N10" i="1"/>
  <c r="M64" i="1"/>
  <c r="M65" i="1"/>
  <c r="M7" i="1"/>
  <c r="M6" i="1"/>
  <c r="O11" i="1" l="1"/>
  <c r="O10" i="1"/>
  <c r="N18" i="1"/>
  <c r="N19" i="1"/>
  <c r="N65" i="1"/>
  <c r="N64" i="1"/>
  <c r="O31" i="1"/>
  <c r="O30" i="1"/>
  <c r="N7" i="1"/>
  <c r="N6" i="1"/>
  <c r="O18" i="1" l="1"/>
  <c r="O19" i="1"/>
  <c r="O64" i="1"/>
  <c r="O7" i="1"/>
  <c r="O6" i="1"/>
</calcChain>
</file>

<file path=xl/sharedStrings.xml><?xml version="1.0" encoding="utf-8"?>
<sst xmlns="http://schemas.openxmlformats.org/spreadsheetml/2006/main" count="299" uniqueCount="162">
  <si>
    <t>Position Title</t>
  </si>
  <si>
    <t xml:space="preserve">Position Value </t>
  </si>
  <si>
    <t>Standard Steps</t>
  </si>
  <si>
    <t>Step 1</t>
  </si>
  <si>
    <t>Step 2</t>
  </si>
  <si>
    <t>Step 3</t>
  </si>
  <si>
    <t>Step 4</t>
  </si>
  <si>
    <t>Step 5</t>
  </si>
  <si>
    <t>Step 6</t>
  </si>
  <si>
    <t>Step 7</t>
  </si>
  <si>
    <t>Step 8</t>
  </si>
  <si>
    <t>Exempt Positions</t>
  </si>
  <si>
    <t>City Administrator</t>
  </si>
  <si>
    <t>Hourly</t>
  </si>
  <si>
    <t>Monthly</t>
  </si>
  <si>
    <t>Annually</t>
  </si>
  <si>
    <t>Police Chief</t>
  </si>
  <si>
    <t>Fire Chief</t>
  </si>
  <si>
    <t>Public Works Director</t>
  </si>
  <si>
    <t>Parks &amp; Recreation Director</t>
  </si>
  <si>
    <t>Community Development Director</t>
  </si>
  <si>
    <t>Finance Manager</t>
  </si>
  <si>
    <t>Deputy Police Chief</t>
  </si>
  <si>
    <t>ACA/HR Director</t>
  </si>
  <si>
    <t>Vacant</t>
  </si>
  <si>
    <t>Assistant Fire Chief</t>
  </si>
  <si>
    <t xml:space="preserve">Police Commander </t>
  </si>
  <si>
    <t>City Engineer</t>
  </si>
  <si>
    <t>Public Works Superintendent</t>
  </si>
  <si>
    <t>IT Manager</t>
  </si>
  <si>
    <t>Building Official</t>
  </si>
  <si>
    <t>Assistant City Engineer</t>
  </si>
  <si>
    <t>Assistant Finance Manager</t>
  </si>
  <si>
    <t>Principal Engineer</t>
  </si>
  <si>
    <t>Economic Dev Coord</t>
  </si>
  <si>
    <t>City Planner</t>
  </si>
  <si>
    <t>Civic Arena Manager</t>
  </si>
  <si>
    <t>Public Works Maint Supervisor</t>
  </si>
  <si>
    <t>Parks &amp; Rec Maint Supervisor</t>
  </si>
  <si>
    <t>Non-Exempt Positions</t>
  </si>
  <si>
    <t>Communications Coordinator</t>
  </si>
  <si>
    <t>Facilities Manager</t>
  </si>
  <si>
    <t>Police Admin Services Manager</t>
  </si>
  <si>
    <t>Accountant II</t>
  </si>
  <si>
    <t>Staff Engineer</t>
  </si>
  <si>
    <t>IT Support Specialist II</t>
  </si>
  <si>
    <t>Building Inspector</t>
  </si>
  <si>
    <t>Accountant I</t>
  </si>
  <si>
    <t>Deputy City Clerk</t>
  </si>
  <si>
    <t>Sports &amp; Rec Coordinator</t>
  </si>
  <si>
    <t>Rec Programming Specialist</t>
  </si>
  <si>
    <t>IT Support Specialist I</t>
  </si>
  <si>
    <t>Civic Arena Supervisor</t>
  </si>
  <si>
    <t>Senior Building Permit Tech</t>
  </si>
  <si>
    <t>Administrative Assistant - Fire</t>
  </si>
  <si>
    <t>Administrative Assistant - City Hall</t>
  </si>
  <si>
    <t>Administrative Assistant - Public Works</t>
  </si>
  <si>
    <t>Building Permit Tech</t>
  </si>
  <si>
    <t>Police Administrative Specialist I</t>
  </si>
  <si>
    <t>Property Room Tech</t>
  </si>
  <si>
    <t>City Hall Receptionist</t>
  </si>
  <si>
    <t>Police Administration Specialist II</t>
  </si>
  <si>
    <t>GRADE 4</t>
  </si>
  <si>
    <t>GRADE 5</t>
  </si>
  <si>
    <t>GRADE 8</t>
  </si>
  <si>
    <t>GRADE 9</t>
  </si>
  <si>
    <t>GRADE 11</t>
  </si>
  <si>
    <t>GRADE 12</t>
  </si>
  <si>
    <t>GRADE 13</t>
  </si>
  <si>
    <t>GRADE 14</t>
  </si>
  <si>
    <t>GRADE 15</t>
  </si>
  <si>
    <t>GRADE 16</t>
  </si>
  <si>
    <t>GRADE 17</t>
  </si>
  <si>
    <t>GRADE 20</t>
  </si>
  <si>
    <t>PUBLIC WORKS OPERATOR</t>
  </si>
  <si>
    <t>STEP 1</t>
  </si>
  <si>
    <t>STEP 2</t>
  </si>
  <si>
    <t>STEP 3</t>
  </si>
  <si>
    <t>STEP 4</t>
  </si>
  <si>
    <t>STEP 5</t>
  </si>
  <si>
    <t>STEP 6</t>
  </si>
  <si>
    <t>HEO</t>
  </si>
  <si>
    <t>LEO</t>
  </si>
  <si>
    <t>PUBLIC WORKS SENIOR OPERATOR</t>
  </si>
  <si>
    <t>START</t>
  </si>
  <si>
    <t>6 MONTHS</t>
  </si>
  <si>
    <t>12 MONTHS</t>
  </si>
  <si>
    <t>24 MONTHS</t>
  </si>
  <si>
    <t>ENGINEERING AIDE II</t>
  </si>
  <si>
    <t>36 MONTHS</t>
  </si>
  <si>
    <t>BUILDING SERVICES WORKER</t>
  </si>
  <si>
    <t>PARKKEEPER/FORESTER</t>
  </si>
  <si>
    <t>PARKKEEPER II</t>
  </si>
  <si>
    <t>SERGEANTS</t>
  </si>
  <si>
    <t>PATROL OFFICERS</t>
  </si>
  <si>
    <t>FIREFIGHTERS</t>
  </si>
  <si>
    <t>FIRE INSPECTOR</t>
  </si>
  <si>
    <t>MAINTENANCE III</t>
  </si>
  <si>
    <t xml:space="preserve">START </t>
  </si>
  <si>
    <t>Code Enforcement Specialist</t>
  </si>
  <si>
    <t xml:space="preserve">24 Hour </t>
  </si>
  <si>
    <t>12 Hour</t>
  </si>
  <si>
    <t>8 Hour</t>
  </si>
  <si>
    <t>FIRE CAPTAINS</t>
  </si>
  <si>
    <t>Fire Marshal</t>
  </si>
  <si>
    <t>Human Resources Generalist</t>
  </si>
  <si>
    <t>Grade</t>
  </si>
  <si>
    <t>Points</t>
  </si>
  <si>
    <t>Position</t>
  </si>
  <si>
    <t>A</t>
  </si>
  <si>
    <t>0010</t>
  </si>
  <si>
    <t>Guest Services/Concessions</t>
  </si>
  <si>
    <t>Slide Attendant</t>
  </si>
  <si>
    <t>Warming House Attendant</t>
  </si>
  <si>
    <t>B</t>
  </si>
  <si>
    <t>0020</t>
  </si>
  <si>
    <t>Announcer/Scorekeeper</t>
  </si>
  <si>
    <t>Guest Services Shift Lead</t>
  </si>
  <si>
    <t>C</t>
  </si>
  <si>
    <t>0030</t>
  </si>
  <si>
    <t>Crossing Guard</t>
  </si>
  <si>
    <t>D</t>
  </si>
  <si>
    <t>0040</t>
  </si>
  <si>
    <t>Lifeguard</t>
  </si>
  <si>
    <t>Arena Attendant</t>
  </si>
  <si>
    <t>Summer Labor</t>
  </si>
  <si>
    <t>E</t>
  </si>
  <si>
    <t>0050</t>
  </si>
  <si>
    <t>Swim Lesson Instructor</t>
  </si>
  <si>
    <t>F</t>
  </si>
  <si>
    <t>0060</t>
  </si>
  <si>
    <t>Lifeguard Shift Lead</t>
  </si>
  <si>
    <t>Activity Supervisor</t>
  </si>
  <si>
    <t>G</t>
  </si>
  <si>
    <t>0070</t>
  </si>
  <si>
    <t>Facility Supervisor</t>
  </si>
  <si>
    <t>H</t>
  </si>
  <si>
    <t>0080</t>
  </si>
  <si>
    <t>Intern (Communications/Engineering)</t>
  </si>
  <si>
    <t>0090</t>
  </si>
  <si>
    <t>I</t>
  </si>
  <si>
    <t>Intern (Community Development)</t>
  </si>
  <si>
    <t>Location</t>
  </si>
  <si>
    <t>Pool, Arena</t>
  </si>
  <si>
    <t>Pool</t>
  </si>
  <si>
    <t>Outdoor Rinks</t>
  </si>
  <si>
    <t>Arena</t>
  </si>
  <si>
    <t>Schools</t>
  </si>
  <si>
    <t>0045</t>
  </si>
  <si>
    <t>Parks</t>
  </si>
  <si>
    <t>Public Works</t>
  </si>
  <si>
    <t>Parks &amp; Recreation Office Assistant</t>
  </si>
  <si>
    <t>Community Service Officer</t>
  </si>
  <si>
    <t>2025 Employee Compensation Assumptions</t>
  </si>
  <si>
    <t>Heavy Equipment Mechanic</t>
  </si>
  <si>
    <t>Part-Time</t>
  </si>
  <si>
    <t>GRADE 6 - Part Time</t>
  </si>
  <si>
    <t>GRADE 6 - Full Time</t>
  </si>
  <si>
    <t>GRADE 7 - Part Time</t>
  </si>
  <si>
    <t>GRADE 7 - Full Time</t>
  </si>
  <si>
    <t>GRADE 10 - Part Time</t>
  </si>
  <si>
    <t>GRADE 10 - Full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</si>
</sst>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4" fillId="0" borderId="1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5" xfId="0" applyFont="1" applyBorder="1"/>
    <xf numFmtId="0" fontId="1" fillId="0" borderId="1" xfId="0" applyFont="1" applyBorder="1"/>
    <xf numFmtId="0" fontId="5" fillId="0" borderId="0" xfId="0" applyFont="1"/>
    <xf numFmtId="8" fontId="5" fillId="0" borderId="0" xfId="0" applyNumberFormat="1" applyFont="1"/>
    <xf numFmtId="0" fontId="5" fillId="2" borderId="0" xfId="0" applyFont="1" applyFill="1"/>
    <xf numFmtId="0" fontId="6" fillId="0" borderId="0" xfId="0" applyFont="1"/>
    <xf numFmtId="8" fontId="6" fillId="0" borderId="0" xfId="0" applyNumberFormat="1" applyFont="1"/>
    <xf numFmtId="0" fontId="3" fillId="0" borderId="4" xfId="0" applyFont="1" applyBorder="1" applyAlignment="1">
      <alignment wrapText="1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8" fontId="3" fillId="0" borderId="0" xfId="0" applyNumberFormat="1" applyFont="1"/>
    <xf numFmtId="0" fontId="4" fillId="0" borderId="0" xfId="0" applyFont="1"/>
    <xf numFmtId="44" fontId="3" fillId="0" borderId="0" xfId="1" applyFont="1" applyAlignment="1">
      <alignment horizontal="left"/>
    </xf>
    <xf numFmtId="44" fontId="3" fillId="0" borderId="0" xfId="1" applyFont="1" applyAlignment="1"/>
    <xf numFmtId="44" fontId="3" fillId="0" borderId="0" xfId="0" applyNumberFormat="1" applyFont="1" applyAlignment="1">
      <alignment horizontal="left"/>
    </xf>
    <xf numFmtId="44" fontId="3" fillId="0" borderId="0" xfId="1" applyFont="1"/>
    <xf numFmtId="8" fontId="0" fillId="0" borderId="0" xfId="0" applyNumberFormat="1"/>
    <xf numFmtId="44" fontId="7" fillId="0" borderId="0" xfId="0" applyNumberFormat="1" applyFont="1" applyAlignment="1">
      <alignment horizontal="left"/>
    </xf>
    <xf numFmtId="44" fontId="5" fillId="0" borderId="0" xfId="0" applyNumberFormat="1" applyFont="1"/>
    <xf numFmtId="164" fontId="0" fillId="0" borderId="0" xfId="0" applyNumberFormat="1"/>
    <xf numFmtId="164" fontId="5" fillId="0" borderId="0" xfId="1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4" fontId="0" fillId="0" borderId="0" xfId="1" applyFont="1"/>
    <xf numFmtId="44" fontId="0" fillId="0" borderId="0" xfId="0" applyNumberFormat="1"/>
    <xf numFmtId="0" fontId="9" fillId="3" borderId="0" xfId="0" applyFont="1" applyFill="1"/>
    <xf numFmtId="49" fontId="9" fillId="3" borderId="0" xfId="0" applyNumberFormat="1" applyFont="1" applyFill="1"/>
    <xf numFmtId="49" fontId="0" fillId="0" borderId="0" xfId="0" applyNumberFormat="1"/>
    <xf numFmtId="2" fontId="0" fillId="0" borderId="0" xfId="0" applyNumberFormat="1"/>
    <xf numFmtId="0" fontId="0" fillId="4" borderId="0" xfId="0" applyFill="1"/>
    <xf numFmtId="49" fontId="0" fillId="4" borderId="0" xfId="0" applyNumberFormat="1" applyFill="1"/>
    <xf numFmtId="2" fontId="0" fillId="4" borderId="0" xfId="0" applyNumberFormat="1" applyFill="1"/>
    <xf numFmtId="43" fontId="0" fillId="0" borderId="0" xfId="2" applyFont="1" applyFill="1"/>
    <xf numFmtId="43" fontId="0" fillId="4" borderId="0" xfId="2" applyFont="1" applyFill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5" fillId="0" borderId="0" xfId="0" applyNumberFormat="1" applyFont="1" applyAlignment="1">
      <alignment horizontal="left"/>
    </xf>
    <xf numFmtId="0" fontId="5" fillId="2" borderId="0" xfId="0" applyFont="1" applyFill="1" applyAlignment="1">
      <alignment horizontal="left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0" fillId="0" borderId="0" xfId="0" applyNumberFormat="1"/>
    <xf numFmtId="43" fontId="0" fillId="0" borderId="0" xfId="2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3C7A-7D5E-4D1A-A7C0-8D275C53513C}">
  <sheetPr>
    <pageSetUpPr fitToPage="1"/>
  </sheetPr>
  <dimension ref="A1:P161"/>
  <sheetViews>
    <sheetView zoomScaleNormal="100" workbookViewId="0">
      <pane ySplit="2" topLeftCell="A97" activePane="bottomLeft" state="frozen"/>
      <selection pane="bottomLeft" activeCell="A42" sqref="A42:P42"/>
    </sheetView>
  </sheetViews>
  <sheetFormatPr defaultRowHeight="15" x14ac:dyDescent="0.25"/>
  <cols>
    <col min="1" max="1" width="27.140625" customWidth="1"/>
    <col min="2" max="2" width="4.5703125" customWidth="1"/>
    <col min="3" max="3" width="7.5703125" customWidth="1"/>
    <col min="4" max="4" width="9.85546875" customWidth="1"/>
    <col min="5" max="5" width="0.5703125" customWidth="1"/>
    <col min="6" max="6" width="10.140625" customWidth="1"/>
    <col min="7" max="7" width="12" bestFit="1" customWidth="1"/>
    <col min="8" max="15" width="18.85546875" bestFit="1" customWidth="1"/>
    <col min="16" max="16" width="2.85546875" customWidth="1"/>
  </cols>
  <sheetData>
    <row r="1" spans="1:16" ht="23.25" x14ac:dyDescent="0.35">
      <c r="A1" s="1" t="s">
        <v>153</v>
      </c>
      <c r="B1" s="1"/>
      <c r="C1" s="1"/>
      <c r="D1" s="1"/>
      <c r="H1" s="5" t="s">
        <v>2</v>
      </c>
      <c r="I1" s="5"/>
      <c r="J1" s="5"/>
      <c r="K1" s="5"/>
      <c r="L1" s="5"/>
      <c r="M1" s="5"/>
      <c r="N1" s="5"/>
      <c r="O1" s="5"/>
      <c r="P1" s="12"/>
    </row>
    <row r="2" spans="1:16" ht="38.25" x14ac:dyDescent="0.35">
      <c r="A2" s="2" t="s">
        <v>0</v>
      </c>
      <c r="B2" s="3"/>
      <c r="C2" s="3"/>
      <c r="D2" s="3"/>
      <c r="E2" s="4"/>
      <c r="F2" s="11" t="s">
        <v>1</v>
      </c>
      <c r="G2" s="4"/>
      <c r="H2" s="15" t="s">
        <v>3</v>
      </c>
      <c r="I2" s="15" t="s">
        <v>4</v>
      </c>
      <c r="J2" s="15" t="s">
        <v>5</v>
      </c>
      <c r="K2" s="15" t="s">
        <v>6</v>
      </c>
      <c r="L2" s="15" t="s">
        <v>7</v>
      </c>
      <c r="M2" s="15" t="s">
        <v>8</v>
      </c>
      <c r="N2" s="15" t="s">
        <v>9</v>
      </c>
      <c r="O2" s="15" t="s">
        <v>10</v>
      </c>
      <c r="P2" s="13"/>
    </row>
    <row r="3" spans="1:16" ht="21" x14ac:dyDescent="0.35">
      <c r="A3" s="56" t="s">
        <v>11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14"/>
    </row>
    <row r="4" spans="1:16" ht="21" x14ac:dyDescent="0.35">
      <c r="A4" s="55" t="s">
        <v>73</v>
      </c>
      <c r="B4" s="55"/>
      <c r="C4" s="55"/>
      <c r="D4" s="5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14"/>
    </row>
    <row r="5" spans="1:16" ht="21" x14ac:dyDescent="0.35">
      <c r="A5" s="6" t="s">
        <v>12</v>
      </c>
      <c r="B5" s="6"/>
      <c r="C5" s="6"/>
      <c r="D5" s="6"/>
      <c r="E5" s="6"/>
      <c r="F5" s="6">
        <v>736</v>
      </c>
      <c r="G5" s="6" t="s">
        <v>13</v>
      </c>
      <c r="H5" s="7">
        <f>78.74*1.035</f>
        <v>81.495899999999992</v>
      </c>
      <c r="I5" s="7">
        <f>81.3*1.035</f>
        <v>84.145499999999984</v>
      </c>
      <c r="J5" s="7">
        <f>83.94*1.035</f>
        <v>86.877899999999997</v>
      </c>
      <c r="K5" s="7">
        <f>86.67*1.035</f>
        <v>89.703449999999989</v>
      </c>
      <c r="L5" s="7">
        <f>89.49*1.035</f>
        <v>92.622149999999991</v>
      </c>
      <c r="M5" s="7">
        <f>92.4*1.035</f>
        <v>95.634</v>
      </c>
      <c r="N5" s="7">
        <f>95.4*1.035</f>
        <v>98.739000000000004</v>
      </c>
      <c r="O5" s="7">
        <f>98.5*1.035</f>
        <v>101.94749999999999</v>
      </c>
      <c r="P5" s="7"/>
    </row>
    <row r="6" spans="1:16" ht="21" x14ac:dyDescent="0.35">
      <c r="A6" s="6"/>
      <c r="B6" s="6"/>
      <c r="C6" s="6"/>
      <c r="D6" s="6"/>
      <c r="E6" s="6"/>
      <c r="F6" s="6"/>
      <c r="G6" s="6" t="s">
        <v>14</v>
      </c>
      <c r="H6" s="7">
        <f>H5*173.3</f>
        <v>14123.239469999999</v>
      </c>
      <c r="I6" s="7">
        <f t="shared" ref="I6:O6" si="0">I5*173.3</f>
        <v>14582.415149999999</v>
      </c>
      <c r="J6" s="7">
        <f t="shared" si="0"/>
        <v>15055.940070000001</v>
      </c>
      <c r="K6" s="7">
        <f t="shared" si="0"/>
        <v>15545.607884999999</v>
      </c>
      <c r="L6" s="7">
        <f t="shared" si="0"/>
        <v>16051.418594999999</v>
      </c>
      <c r="M6" s="7">
        <f t="shared" si="0"/>
        <v>16573.372200000002</v>
      </c>
      <c r="N6" s="7">
        <f t="shared" si="0"/>
        <v>17111.468700000001</v>
      </c>
      <c r="O6" s="7">
        <f t="shared" si="0"/>
        <v>17667.501749999999</v>
      </c>
      <c r="P6" s="7"/>
    </row>
    <row r="7" spans="1:16" ht="21" x14ac:dyDescent="0.35">
      <c r="A7" s="6"/>
      <c r="B7" s="6"/>
      <c r="C7" s="6"/>
      <c r="D7" s="6"/>
      <c r="E7" s="6"/>
      <c r="F7" s="6"/>
      <c r="G7" s="6" t="s">
        <v>15</v>
      </c>
      <c r="H7" s="7">
        <f>H5*2080</f>
        <v>169511.47199999998</v>
      </c>
      <c r="I7" s="7">
        <f t="shared" ref="I7:O7" si="1">I5*2080</f>
        <v>175022.63999999996</v>
      </c>
      <c r="J7" s="7">
        <f t="shared" si="1"/>
        <v>180706.03200000001</v>
      </c>
      <c r="K7" s="7">
        <f t="shared" si="1"/>
        <v>186583.17599999998</v>
      </c>
      <c r="L7" s="7">
        <f t="shared" si="1"/>
        <v>192654.07199999999</v>
      </c>
      <c r="M7" s="7">
        <f t="shared" si="1"/>
        <v>198918.72</v>
      </c>
      <c r="N7" s="7">
        <f t="shared" si="1"/>
        <v>205377.12</v>
      </c>
      <c r="O7" s="7">
        <f t="shared" si="1"/>
        <v>212050.8</v>
      </c>
      <c r="P7" s="7"/>
    </row>
    <row r="8" spans="1:16" ht="21" x14ac:dyDescent="0.35">
      <c r="A8" s="8" t="s">
        <v>72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"/>
    </row>
    <row r="9" spans="1:16" ht="21" x14ac:dyDescent="0.35">
      <c r="A9" s="57" t="s">
        <v>23</v>
      </c>
      <c r="B9" s="57"/>
      <c r="C9" s="57"/>
      <c r="D9" s="6"/>
      <c r="E9" s="6"/>
      <c r="F9" s="6">
        <v>504</v>
      </c>
      <c r="G9" s="6" t="s">
        <v>13</v>
      </c>
      <c r="H9" s="7">
        <f>62.76*1.035</f>
        <v>64.956599999999995</v>
      </c>
      <c r="I9" s="7">
        <f>64.79*1.035</f>
        <v>67.057649999999995</v>
      </c>
      <c r="J9" s="7">
        <f>66.9*1.035</f>
        <v>69.241500000000002</v>
      </c>
      <c r="K9" s="7">
        <f>69.08*1.035</f>
        <v>71.497799999999998</v>
      </c>
      <c r="L9" s="7">
        <f>71.33*1.035</f>
        <v>73.826549999999997</v>
      </c>
      <c r="M9" s="7">
        <f>73.64*1.035</f>
        <v>76.217399999999998</v>
      </c>
      <c r="N9" s="7">
        <f>76.03*1.035</f>
        <v>78.69104999999999</v>
      </c>
      <c r="O9" s="7">
        <f>78.51*1.035</f>
        <v>81.257850000000005</v>
      </c>
      <c r="P9" s="7"/>
    </row>
    <row r="10" spans="1:16" ht="21" x14ac:dyDescent="0.35">
      <c r="A10" s="57" t="s">
        <v>16</v>
      </c>
      <c r="B10" s="57"/>
      <c r="C10" s="57"/>
      <c r="D10" s="6"/>
      <c r="E10" s="6"/>
      <c r="F10" s="6">
        <v>486</v>
      </c>
      <c r="G10" s="6" t="s">
        <v>14</v>
      </c>
      <c r="H10" s="7">
        <f t="shared" ref="H10:O10" si="2">H9*173.3</f>
        <v>11256.978779999999</v>
      </c>
      <c r="I10" s="7">
        <f t="shared" si="2"/>
        <v>11621.090745</v>
      </c>
      <c r="J10" s="7">
        <f t="shared" si="2"/>
        <v>11999.551950000001</v>
      </c>
      <c r="K10" s="7">
        <f t="shared" si="2"/>
        <v>12390.568740000001</v>
      </c>
      <c r="L10" s="7">
        <f t="shared" si="2"/>
        <v>12794.141115</v>
      </c>
      <c r="M10" s="7">
        <f t="shared" si="2"/>
        <v>13208.475420000001</v>
      </c>
      <c r="N10" s="7">
        <f t="shared" si="2"/>
        <v>13637.158964999999</v>
      </c>
      <c r="O10" s="7">
        <f t="shared" si="2"/>
        <v>14081.985405000001</v>
      </c>
      <c r="P10" s="7"/>
    </row>
    <row r="11" spans="1:16" ht="21" x14ac:dyDescent="0.35">
      <c r="A11" s="57" t="s">
        <v>17</v>
      </c>
      <c r="B11" s="57"/>
      <c r="C11" s="57"/>
      <c r="D11" s="6"/>
      <c r="E11" s="6"/>
      <c r="F11" s="6">
        <v>486</v>
      </c>
      <c r="G11" s="6" t="s">
        <v>15</v>
      </c>
      <c r="H11" s="7">
        <f>H9*2080</f>
        <v>135109.728</v>
      </c>
      <c r="I11" s="7">
        <f t="shared" ref="I11:O11" si="3">I9*2080</f>
        <v>139479.91199999998</v>
      </c>
      <c r="J11" s="7">
        <f t="shared" si="3"/>
        <v>144022.32</v>
      </c>
      <c r="K11" s="7">
        <f t="shared" si="3"/>
        <v>148715.424</v>
      </c>
      <c r="L11" s="7">
        <f t="shared" si="3"/>
        <v>153559.22399999999</v>
      </c>
      <c r="M11" s="7">
        <f t="shared" si="3"/>
        <v>158532.19199999998</v>
      </c>
      <c r="N11" s="7">
        <f t="shared" si="3"/>
        <v>163677.38399999999</v>
      </c>
      <c r="O11" s="7">
        <f t="shared" si="3"/>
        <v>169016.32800000001</v>
      </c>
      <c r="P11" s="7"/>
    </row>
    <row r="12" spans="1:16" ht="21" x14ac:dyDescent="0.35">
      <c r="A12" s="57" t="s">
        <v>18</v>
      </c>
      <c r="B12" s="57"/>
      <c r="C12" s="57"/>
      <c r="D12" s="6"/>
      <c r="E12" s="6"/>
      <c r="F12" s="6">
        <v>468</v>
      </c>
      <c r="G12" s="6"/>
      <c r="H12" s="6"/>
      <c r="I12" s="6"/>
      <c r="J12" s="6"/>
      <c r="K12" s="6"/>
      <c r="L12" s="6"/>
      <c r="M12" s="6"/>
      <c r="O12" s="6"/>
      <c r="P12" s="6"/>
    </row>
    <row r="13" spans="1:16" ht="21" x14ac:dyDescent="0.35">
      <c r="A13" s="6" t="s">
        <v>19</v>
      </c>
      <c r="B13" s="6"/>
      <c r="C13" s="6"/>
      <c r="D13" s="6"/>
      <c r="E13" s="6"/>
      <c r="F13" s="6">
        <v>468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1" x14ac:dyDescent="0.35">
      <c r="A14" s="6" t="s">
        <v>20</v>
      </c>
      <c r="B14" s="6"/>
      <c r="C14" s="6"/>
      <c r="D14" s="6"/>
      <c r="E14" s="6"/>
      <c r="F14" s="6">
        <v>468</v>
      </c>
      <c r="G14" s="6"/>
      <c r="H14" s="6"/>
      <c r="I14" s="6"/>
      <c r="J14" s="6"/>
      <c r="K14" s="6"/>
      <c r="L14" s="6"/>
      <c r="M14" s="6"/>
      <c r="O14" s="6"/>
      <c r="P14" s="6"/>
    </row>
    <row r="15" spans="1:16" ht="21" x14ac:dyDescent="0.35">
      <c r="A15" s="6" t="s">
        <v>21</v>
      </c>
      <c r="B15" s="6"/>
      <c r="C15" s="6"/>
      <c r="D15" s="6"/>
      <c r="E15" s="6"/>
      <c r="F15" s="6">
        <v>468</v>
      </c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1" x14ac:dyDescent="0.35">
      <c r="A16" s="8" t="s">
        <v>71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6"/>
    </row>
    <row r="17" spans="1:16" ht="21" x14ac:dyDescent="0.35">
      <c r="A17" s="6" t="s">
        <v>22</v>
      </c>
      <c r="B17" s="6"/>
      <c r="C17" s="6"/>
      <c r="D17" s="6"/>
      <c r="E17" s="6"/>
      <c r="F17" s="6">
        <v>415</v>
      </c>
      <c r="G17" s="6" t="s">
        <v>13</v>
      </c>
      <c r="H17" s="7">
        <f>58.2*1.035</f>
        <v>60.236999999999995</v>
      </c>
      <c r="I17" s="7">
        <f>60.09*1.035</f>
        <v>62.193149999999996</v>
      </c>
      <c r="J17" s="7">
        <f>62.05*1.035</f>
        <v>64.221749999999986</v>
      </c>
      <c r="K17" s="7">
        <f>64.05*1.035</f>
        <v>66.291749999999993</v>
      </c>
      <c r="L17" s="7">
        <f>66.13*1.035</f>
        <v>68.444549999999992</v>
      </c>
      <c r="M17" s="7">
        <f>68.29*1.035</f>
        <v>70.680149999999998</v>
      </c>
      <c r="N17" s="7">
        <f>70.5*1.035</f>
        <v>72.967500000000001</v>
      </c>
      <c r="O17" s="7">
        <f>72.8*1.035</f>
        <v>75.347999999999985</v>
      </c>
      <c r="P17" s="7"/>
    </row>
    <row r="18" spans="1:16" ht="21" x14ac:dyDescent="0.35">
      <c r="A18" s="6"/>
      <c r="B18" s="6"/>
      <c r="C18" s="6"/>
      <c r="D18" s="6"/>
      <c r="E18" s="6"/>
      <c r="F18" s="6"/>
      <c r="G18" s="6" t="s">
        <v>14</v>
      </c>
      <c r="H18" s="7">
        <f t="shared" ref="H18:O18" si="4">H17*173.3</f>
        <v>10439.072099999999</v>
      </c>
      <c r="I18" s="7">
        <f t="shared" si="4"/>
        <v>10778.072894999999</v>
      </c>
      <c r="J18" s="7">
        <f t="shared" si="4"/>
        <v>11129.629274999998</v>
      </c>
      <c r="K18" s="7">
        <f t="shared" si="4"/>
        <v>11488.360274999999</v>
      </c>
      <c r="L18" s="7">
        <f t="shared" si="4"/>
        <v>11861.440515</v>
      </c>
      <c r="M18" s="7">
        <f t="shared" si="4"/>
        <v>12248.869995000001</v>
      </c>
      <c r="N18" s="7">
        <f t="shared" si="4"/>
        <v>12645.267750000001</v>
      </c>
      <c r="O18" s="7">
        <f t="shared" si="4"/>
        <v>13057.808399999998</v>
      </c>
      <c r="P18" s="7"/>
    </row>
    <row r="19" spans="1:16" ht="21" x14ac:dyDescent="0.35">
      <c r="A19" s="6"/>
      <c r="B19" s="6"/>
      <c r="C19" s="6"/>
      <c r="D19" s="6"/>
      <c r="E19" s="6"/>
      <c r="F19" s="6"/>
      <c r="G19" s="6" t="s">
        <v>15</v>
      </c>
      <c r="H19" s="7">
        <f>H17*2080</f>
        <v>125292.95999999999</v>
      </c>
      <c r="I19" s="7">
        <f t="shared" ref="I19:O19" si="5">I17*2080</f>
        <v>129361.75199999999</v>
      </c>
      <c r="J19" s="7">
        <f t="shared" si="5"/>
        <v>133581.23999999996</v>
      </c>
      <c r="K19" s="7">
        <f t="shared" si="5"/>
        <v>137886.84</v>
      </c>
      <c r="L19" s="7">
        <f t="shared" si="5"/>
        <v>142364.66399999999</v>
      </c>
      <c r="M19" s="7">
        <f t="shared" si="5"/>
        <v>147014.712</v>
      </c>
      <c r="N19" s="7">
        <f t="shared" si="5"/>
        <v>151772.4</v>
      </c>
      <c r="O19" s="7">
        <f t="shared" si="5"/>
        <v>156723.83999999997</v>
      </c>
      <c r="P19" s="7"/>
    </row>
    <row r="20" spans="1:16" ht="21" x14ac:dyDescent="0.35">
      <c r="A20" s="8" t="s">
        <v>70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6"/>
    </row>
    <row r="21" spans="1:16" ht="21" x14ac:dyDescent="0.35">
      <c r="A21" s="6" t="s">
        <v>25</v>
      </c>
      <c r="B21" s="6"/>
      <c r="C21" s="6"/>
      <c r="D21" s="6"/>
      <c r="E21" s="6"/>
      <c r="F21" s="6">
        <v>411</v>
      </c>
      <c r="G21" s="6" t="s">
        <v>13</v>
      </c>
      <c r="H21" s="7">
        <f>53.97*1.035</f>
        <v>55.858949999999993</v>
      </c>
      <c r="I21" s="7">
        <f>55.72*1.035</f>
        <v>57.670199999999994</v>
      </c>
      <c r="J21" s="7">
        <f>57.53*1.035</f>
        <v>59.543549999999996</v>
      </c>
      <c r="K21" s="7">
        <f>59.4*1.035</f>
        <v>61.478999999999992</v>
      </c>
      <c r="L21" s="7">
        <f>61.34*1.035</f>
        <v>63.486899999999999</v>
      </c>
      <c r="M21" s="7">
        <f>63.33*1.035</f>
        <v>65.546549999999996</v>
      </c>
      <c r="N21" s="7">
        <f>65.38*1.035</f>
        <v>67.668299999999988</v>
      </c>
      <c r="O21" s="7">
        <f>67.51*1.035</f>
        <v>69.87285</v>
      </c>
      <c r="P21" s="7"/>
    </row>
    <row r="22" spans="1:16" ht="21" x14ac:dyDescent="0.35">
      <c r="A22" s="6" t="s">
        <v>26</v>
      </c>
      <c r="B22" s="6"/>
      <c r="C22" s="6"/>
      <c r="D22" s="6"/>
      <c r="E22" s="6"/>
      <c r="F22" s="6">
        <v>399</v>
      </c>
      <c r="G22" s="6" t="s">
        <v>14</v>
      </c>
      <c r="H22" s="7">
        <f t="shared" ref="H22:O22" si="6">H21*173.3</f>
        <v>9680.3560349999989</v>
      </c>
      <c r="I22" s="7">
        <f t="shared" si="6"/>
        <v>9994.2456600000005</v>
      </c>
      <c r="J22" s="7">
        <f t="shared" si="6"/>
        <v>10318.897215000001</v>
      </c>
      <c r="K22" s="7">
        <f t="shared" si="6"/>
        <v>10654.3107</v>
      </c>
      <c r="L22" s="7">
        <f t="shared" si="6"/>
        <v>11002.279770000001</v>
      </c>
      <c r="M22" s="7">
        <f t="shared" si="6"/>
        <v>11359.217114999999</v>
      </c>
      <c r="N22" s="7">
        <f t="shared" si="6"/>
        <v>11726.916389999999</v>
      </c>
      <c r="O22" s="7">
        <f t="shared" si="6"/>
        <v>12108.964905000001</v>
      </c>
      <c r="P22" s="7"/>
    </row>
    <row r="23" spans="1:16" ht="21" x14ac:dyDescent="0.35">
      <c r="A23" s="6" t="s">
        <v>27</v>
      </c>
      <c r="B23" s="6"/>
      <c r="C23" s="6"/>
      <c r="D23" s="6"/>
      <c r="E23" s="6"/>
      <c r="F23" s="6">
        <v>396</v>
      </c>
      <c r="G23" s="6" t="s">
        <v>15</v>
      </c>
      <c r="H23" s="7">
        <f>H21*2080</f>
        <v>116186.61599999998</v>
      </c>
      <c r="I23" s="7">
        <f t="shared" ref="I23:O23" si="7">I21*2080</f>
        <v>119954.01599999999</v>
      </c>
      <c r="J23" s="7">
        <f t="shared" si="7"/>
        <v>123850.58399999999</v>
      </c>
      <c r="K23" s="7">
        <f t="shared" si="7"/>
        <v>127876.31999999998</v>
      </c>
      <c r="L23" s="7">
        <f t="shared" si="7"/>
        <v>132052.75200000001</v>
      </c>
      <c r="M23" s="7">
        <f t="shared" si="7"/>
        <v>136336.82399999999</v>
      </c>
      <c r="N23" s="7">
        <f t="shared" si="7"/>
        <v>140750.06399999998</v>
      </c>
      <c r="O23" s="7">
        <f t="shared" si="7"/>
        <v>145335.52799999999</v>
      </c>
      <c r="P23" s="7"/>
    </row>
    <row r="24" spans="1:16" ht="21" x14ac:dyDescent="0.35">
      <c r="A24" s="8" t="s">
        <v>69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6"/>
    </row>
    <row r="25" spans="1:16" ht="21" x14ac:dyDescent="0.35">
      <c r="A25" s="6" t="s">
        <v>28</v>
      </c>
      <c r="B25" s="6"/>
      <c r="C25" s="6"/>
      <c r="D25" s="6"/>
      <c r="E25" s="6"/>
      <c r="F25" s="6">
        <v>351</v>
      </c>
      <c r="G25" s="6" t="s">
        <v>13</v>
      </c>
      <c r="H25" s="7">
        <f>50.03*1.035</f>
        <v>51.78105</v>
      </c>
      <c r="I25" s="7">
        <f>51.67*1.035</f>
        <v>53.478449999999995</v>
      </c>
      <c r="J25" s="7">
        <f>53.34*1.035</f>
        <v>55.206899999999997</v>
      </c>
      <c r="K25" s="7">
        <f>55.08*1.035</f>
        <v>57.007799999999996</v>
      </c>
      <c r="L25" s="7">
        <f>56.87*1.035</f>
        <v>58.860449999999993</v>
      </c>
      <c r="M25" s="7">
        <f>58.72*1.035</f>
        <v>60.775199999999991</v>
      </c>
      <c r="N25" s="7">
        <f>60.63*1.035</f>
        <v>62.752049999999997</v>
      </c>
      <c r="O25" s="7">
        <f>62.6*1.035</f>
        <v>64.790999999999997</v>
      </c>
      <c r="P25" s="7"/>
    </row>
    <row r="26" spans="1:16" ht="21" x14ac:dyDescent="0.35">
      <c r="A26" s="6" t="s">
        <v>29</v>
      </c>
      <c r="B26" s="6"/>
      <c r="C26" s="6"/>
      <c r="D26" s="6"/>
      <c r="E26" s="6"/>
      <c r="F26" s="6">
        <v>330</v>
      </c>
      <c r="G26" s="6" t="s">
        <v>14</v>
      </c>
      <c r="H26" s="7">
        <f t="shared" ref="H26:N26" si="8">H25*173.3</f>
        <v>8973.6559649999999</v>
      </c>
      <c r="I26" s="7">
        <f t="shared" si="8"/>
        <v>9267.8153849999999</v>
      </c>
      <c r="J26" s="7">
        <f t="shared" si="8"/>
        <v>9567.3557700000001</v>
      </c>
      <c r="K26" s="7">
        <f t="shared" si="8"/>
        <v>9879.4517400000004</v>
      </c>
      <c r="L26" s="7">
        <f t="shared" si="8"/>
        <v>10200.515985</v>
      </c>
      <c r="M26" s="7">
        <f t="shared" si="8"/>
        <v>10532.342159999998</v>
      </c>
      <c r="N26" s="7">
        <f t="shared" si="8"/>
        <v>10874.930265000001</v>
      </c>
      <c r="O26" s="7">
        <f>O25*173.3</f>
        <v>11228.2803</v>
      </c>
      <c r="P26" s="7"/>
    </row>
    <row r="27" spans="1:16" ht="21" x14ac:dyDescent="0.35">
      <c r="A27" s="6"/>
      <c r="B27" s="6"/>
      <c r="C27" s="6"/>
      <c r="D27" s="6"/>
      <c r="E27" s="6"/>
      <c r="F27" s="6"/>
      <c r="G27" s="6" t="s">
        <v>15</v>
      </c>
      <c r="H27" s="7">
        <f t="shared" ref="H27:O27" si="9">H25*2080</f>
        <v>107704.584</v>
      </c>
      <c r="I27" s="7">
        <f t="shared" si="9"/>
        <v>111235.17599999999</v>
      </c>
      <c r="J27" s="7">
        <f t="shared" si="9"/>
        <v>114830.352</v>
      </c>
      <c r="K27" s="7">
        <f t="shared" si="9"/>
        <v>118576.22399999999</v>
      </c>
      <c r="L27" s="7">
        <f t="shared" si="9"/>
        <v>122429.73599999999</v>
      </c>
      <c r="M27" s="7">
        <f t="shared" si="9"/>
        <v>126412.41599999998</v>
      </c>
      <c r="N27" s="7">
        <f t="shared" si="9"/>
        <v>130524.264</v>
      </c>
      <c r="O27" s="7">
        <f t="shared" si="9"/>
        <v>134765.28</v>
      </c>
      <c r="P27" s="7"/>
    </row>
    <row r="28" spans="1:16" ht="21" x14ac:dyDescent="0.35">
      <c r="A28" s="8" t="s">
        <v>68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6"/>
    </row>
    <row r="29" spans="1:16" ht="21" x14ac:dyDescent="0.35">
      <c r="A29" s="6" t="s">
        <v>30</v>
      </c>
      <c r="B29" s="6"/>
      <c r="C29" s="6"/>
      <c r="D29" s="6"/>
      <c r="E29" s="6"/>
      <c r="F29" s="6">
        <v>322</v>
      </c>
      <c r="G29" s="6" t="s">
        <v>13</v>
      </c>
      <c r="H29" s="7">
        <f>46.39*1.035</f>
        <v>48.013649999999998</v>
      </c>
      <c r="I29" s="7">
        <f>47.9*1.035</f>
        <v>49.576499999999996</v>
      </c>
      <c r="J29" s="7">
        <f>49.46*1.035</f>
        <v>51.191099999999999</v>
      </c>
      <c r="K29" s="7">
        <f>51.06*1.035</f>
        <v>52.847099999999998</v>
      </c>
      <c r="L29" s="7">
        <f>52.73*1.035</f>
        <v>54.575549999999993</v>
      </c>
      <c r="M29" s="7">
        <f>54.43*1.035</f>
        <v>56.335049999999995</v>
      </c>
      <c r="N29" s="7">
        <f>56.2*1.035</f>
        <v>58.167000000000002</v>
      </c>
      <c r="O29" s="7">
        <f>58.04*1.035</f>
        <v>60.071399999999997</v>
      </c>
      <c r="P29" s="7"/>
    </row>
    <row r="30" spans="1:16" ht="21" x14ac:dyDescent="0.35">
      <c r="A30" s="6" t="s">
        <v>31</v>
      </c>
      <c r="B30" s="6"/>
      <c r="C30" s="6"/>
      <c r="D30" s="6"/>
      <c r="E30" s="6"/>
      <c r="F30" s="6">
        <v>314</v>
      </c>
      <c r="G30" s="6" t="s">
        <v>14</v>
      </c>
      <c r="H30" s="7">
        <f t="shared" ref="H30:O30" si="10">H29*173.3</f>
        <v>8320.7655450000002</v>
      </c>
      <c r="I30" s="7">
        <f t="shared" si="10"/>
        <v>8591.6074499999995</v>
      </c>
      <c r="J30" s="7">
        <f t="shared" si="10"/>
        <v>8871.4176299999999</v>
      </c>
      <c r="K30" s="7">
        <f t="shared" si="10"/>
        <v>9158.4024300000001</v>
      </c>
      <c r="L30" s="7">
        <f t="shared" si="10"/>
        <v>9457.9428149999985</v>
      </c>
      <c r="M30" s="7">
        <f t="shared" si="10"/>
        <v>9762.864164999999</v>
      </c>
      <c r="N30" s="7">
        <f t="shared" si="10"/>
        <v>10080.341100000001</v>
      </c>
      <c r="O30" s="7">
        <f t="shared" si="10"/>
        <v>10410.37362</v>
      </c>
      <c r="P30" s="7"/>
    </row>
    <row r="31" spans="1:16" ht="21" x14ac:dyDescent="0.35">
      <c r="A31" s="6" t="s">
        <v>32</v>
      </c>
      <c r="B31" s="6"/>
      <c r="C31" s="6"/>
      <c r="D31" s="6"/>
      <c r="E31" s="6"/>
      <c r="F31" s="6">
        <v>314</v>
      </c>
      <c r="G31" s="6" t="s">
        <v>15</v>
      </c>
      <c r="H31" s="7">
        <f>H29*2080</f>
        <v>99868.391999999993</v>
      </c>
      <c r="I31" s="7">
        <f t="shared" ref="I31:O31" si="11">I29*2080</f>
        <v>103119.12</v>
      </c>
      <c r="J31" s="7">
        <f t="shared" si="11"/>
        <v>106477.488</v>
      </c>
      <c r="K31" s="7">
        <f t="shared" si="11"/>
        <v>109921.96799999999</v>
      </c>
      <c r="L31" s="7">
        <f t="shared" si="11"/>
        <v>113517.14399999999</v>
      </c>
      <c r="M31" s="7">
        <f t="shared" si="11"/>
        <v>117176.90399999999</v>
      </c>
      <c r="N31" s="7">
        <f t="shared" si="11"/>
        <v>120987.36</v>
      </c>
      <c r="O31" s="7">
        <f t="shared" si="11"/>
        <v>124948.51199999999</v>
      </c>
      <c r="P31" s="7"/>
    </row>
    <row r="32" spans="1:16" ht="21" x14ac:dyDescent="0.35">
      <c r="A32" s="8" t="s">
        <v>67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6"/>
    </row>
    <row r="33" spans="1:16" ht="21" x14ac:dyDescent="0.35">
      <c r="A33" s="6" t="s">
        <v>33</v>
      </c>
      <c r="B33" s="6"/>
      <c r="C33" s="6"/>
      <c r="D33" s="6"/>
      <c r="E33" s="6"/>
      <c r="F33" s="6">
        <v>306</v>
      </c>
      <c r="G33" s="9" t="s">
        <v>13</v>
      </c>
      <c r="H33" s="10">
        <f>43.01*1.035</f>
        <v>44.515349999999998</v>
      </c>
      <c r="I33" s="10">
        <f>44.42*1.035</f>
        <v>45.974699999999999</v>
      </c>
      <c r="J33" s="10">
        <f>45.86*1.035</f>
        <v>47.465099999999993</v>
      </c>
      <c r="K33" s="10">
        <f>47.36*1.035</f>
        <v>49.017599999999995</v>
      </c>
      <c r="L33" s="10">
        <f>48.9*1.035</f>
        <v>50.611499999999992</v>
      </c>
      <c r="M33" s="10">
        <f>50.48*1.035</f>
        <v>52.246799999999993</v>
      </c>
      <c r="N33" s="10">
        <f>52.12*1.035</f>
        <v>53.944199999999995</v>
      </c>
      <c r="O33" s="10">
        <f>53.82*1.035</f>
        <v>55.703699999999998</v>
      </c>
      <c r="P33" s="10"/>
    </row>
    <row r="34" spans="1:16" ht="21" x14ac:dyDescent="0.35">
      <c r="A34" s="6" t="s">
        <v>34</v>
      </c>
      <c r="B34" s="6"/>
      <c r="C34" s="6"/>
      <c r="D34" s="6"/>
      <c r="E34" s="6"/>
      <c r="F34" s="6">
        <v>302</v>
      </c>
      <c r="G34" s="9" t="s">
        <v>14</v>
      </c>
      <c r="H34" s="10">
        <f t="shared" ref="H34:O34" si="12">H33*173.3</f>
        <v>7714.5101549999999</v>
      </c>
      <c r="I34" s="10">
        <f t="shared" si="12"/>
        <v>7967.4155100000007</v>
      </c>
      <c r="J34" s="10">
        <f t="shared" si="12"/>
        <v>8225.70183</v>
      </c>
      <c r="K34" s="10">
        <f t="shared" si="12"/>
        <v>8494.7500799999998</v>
      </c>
      <c r="L34" s="10">
        <f t="shared" si="12"/>
        <v>8770.9729499999994</v>
      </c>
      <c r="M34" s="10">
        <f t="shared" si="12"/>
        <v>9054.3704399999988</v>
      </c>
      <c r="N34" s="10">
        <f t="shared" si="12"/>
        <v>9348.5298600000006</v>
      </c>
      <c r="O34" s="10">
        <f t="shared" si="12"/>
        <v>9653.4512100000011</v>
      </c>
      <c r="P34" s="10"/>
    </row>
    <row r="35" spans="1:16" ht="21" x14ac:dyDescent="0.35">
      <c r="A35" s="6" t="s">
        <v>35</v>
      </c>
      <c r="B35" s="6"/>
      <c r="C35" s="6"/>
      <c r="D35" s="6"/>
      <c r="E35" s="6"/>
      <c r="F35" s="6">
        <v>302</v>
      </c>
      <c r="G35" s="9" t="s">
        <v>15</v>
      </c>
      <c r="H35" s="10">
        <f>H33*2080</f>
        <v>92591.928</v>
      </c>
      <c r="I35" s="10">
        <f t="shared" ref="I35:O35" si="13">I33*2080</f>
        <v>95627.376000000004</v>
      </c>
      <c r="J35" s="10">
        <f t="shared" si="13"/>
        <v>98727.407999999981</v>
      </c>
      <c r="K35" s="10">
        <f t="shared" si="13"/>
        <v>101956.60799999999</v>
      </c>
      <c r="L35" s="10">
        <f t="shared" si="13"/>
        <v>105271.91999999998</v>
      </c>
      <c r="M35" s="10">
        <f t="shared" si="13"/>
        <v>108673.34399999998</v>
      </c>
      <c r="N35" s="10">
        <f t="shared" si="13"/>
        <v>112203.93599999999</v>
      </c>
      <c r="O35" s="10">
        <f t="shared" si="13"/>
        <v>115863.696</v>
      </c>
      <c r="P35" s="10"/>
    </row>
    <row r="36" spans="1:16" ht="21" x14ac:dyDescent="0.35">
      <c r="A36" s="6" t="s">
        <v>37</v>
      </c>
      <c r="B36" s="6"/>
      <c r="C36" s="6"/>
      <c r="D36" s="6"/>
      <c r="E36" s="6"/>
      <c r="F36" s="6"/>
      <c r="G36" s="9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21" x14ac:dyDescent="0.35">
      <c r="A37" s="8" t="s">
        <v>66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6"/>
    </row>
    <row r="38" spans="1:16" ht="21" x14ac:dyDescent="0.35">
      <c r="A38" s="6" t="s">
        <v>36</v>
      </c>
      <c r="B38" s="6"/>
      <c r="C38" s="6"/>
      <c r="D38" s="6"/>
      <c r="E38" s="6"/>
      <c r="F38" s="6">
        <v>254</v>
      </c>
      <c r="G38" s="9" t="s">
        <v>13</v>
      </c>
      <c r="H38" s="10">
        <f>39.89*1.035</f>
        <v>41.286149999999999</v>
      </c>
      <c r="I38" s="10">
        <f>41.18*1.035</f>
        <v>42.621299999999998</v>
      </c>
      <c r="J38" s="10">
        <f>42.53*1.035</f>
        <v>44.018549999999998</v>
      </c>
      <c r="K38" s="10">
        <f>43.91*1.035</f>
        <v>45.446849999999991</v>
      </c>
      <c r="L38" s="10">
        <f>45.33*1.035</f>
        <v>46.916549999999994</v>
      </c>
      <c r="M38" s="10">
        <f>46.81*1.035</f>
        <v>48.448349999999998</v>
      </c>
      <c r="N38" s="10">
        <f>48.33*1.035</f>
        <v>50.021549999999998</v>
      </c>
      <c r="O38" s="10">
        <f>49.91*1.035</f>
        <v>51.656849999999991</v>
      </c>
      <c r="P38" s="10"/>
    </row>
    <row r="39" spans="1:16" ht="21" x14ac:dyDescent="0.35">
      <c r="A39" s="6" t="s">
        <v>38</v>
      </c>
      <c r="B39" s="6"/>
      <c r="C39" s="6"/>
      <c r="D39" s="6"/>
      <c r="E39" s="6"/>
      <c r="F39" s="6">
        <v>253</v>
      </c>
      <c r="G39" s="9" t="s">
        <v>14</v>
      </c>
      <c r="H39" s="10">
        <f t="shared" ref="H39:O39" si="14">H38*173.3</f>
        <v>7154.889795</v>
      </c>
      <c r="I39" s="10">
        <f t="shared" si="14"/>
        <v>7386.2712899999997</v>
      </c>
      <c r="J39" s="10">
        <f t="shared" si="14"/>
        <v>7628.4147149999999</v>
      </c>
      <c r="K39" s="10">
        <f t="shared" si="14"/>
        <v>7875.9391049999986</v>
      </c>
      <c r="L39" s="10">
        <f t="shared" si="14"/>
        <v>8130.6381149999997</v>
      </c>
      <c r="M39" s="10">
        <f t="shared" si="14"/>
        <v>8396.0990550000006</v>
      </c>
      <c r="N39" s="10">
        <f t="shared" si="14"/>
        <v>8668.7346149999994</v>
      </c>
      <c r="O39" s="10">
        <f t="shared" si="14"/>
        <v>8952.1321049999988</v>
      </c>
      <c r="P39" s="10"/>
    </row>
    <row r="40" spans="1:16" ht="21" x14ac:dyDescent="0.35">
      <c r="A40" s="6"/>
      <c r="B40" s="6"/>
      <c r="C40" s="6"/>
      <c r="D40" s="6"/>
      <c r="E40" s="6"/>
      <c r="F40" s="6"/>
      <c r="G40" s="9" t="s">
        <v>15</v>
      </c>
      <c r="H40" s="10">
        <f>H38*2080</f>
        <v>85875.191999999995</v>
      </c>
      <c r="I40" s="10">
        <f t="shared" ref="I40:O40" si="15">I38*2080</f>
        <v>88652.303999999989</v>
      </c>
      <c r="J40" s="10">
        <f t="shared" si="15"/>
        <v>91558.583999999988</v>
      </c>
      <c r="K40" s="10">
        <f t="shared" si="15"/>
        <v>94529.447999999975</v>
      </c>
      <c r="L40" s="10">
        <f t="shared" si="15"/>
        <v>97586.423999999985</v>
      </c>
      <c r="M40" s="10">
        <f t="shared" si="15"/>
        <v>100772.568</v>
      </c>
      <c r="N40" s="10">
        <f t="shared" si="15"/>
        <v>104044.82399999999</v>
      </c>
      <c r="O40" s="10">
        <f t="shared" si="15"/>
        <v>107446.24799999998</v>
      </c>
      <c r="P40" s="10"/>
    </row>
    <row r="41" spans="1:16" ht="2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6"/>
    </row>
    <row r="42" spans="1:16" ht="21" x14ac:dyDescent="0.3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</row>
    <row r="43" spans="1:16" ht="21" x14ac:dyDescent="0.35">
      <c r="A43" s="58" t="s">
        <v>39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</row>
    <row r="44" spans="1:16" ht="21" x14ac:dyDescent="0.35">
      <c r="A44" s="55" t="s">
        <v>66</v>
      </c>
      <c r="B44" s="55"/>
      <c r="C44" s="55"/>
      <c r="D44" s="5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16"/>
    </row>
    <row r="45" spans="1:16" ht="21" x14ac:dyDescent="0.35">
      <c r="A45" s="6" t="s">
        <v>40</v>
      </c>
      <c r="B45" s="6"/>
      <c r="C45" s="6"/>
      <c r="D45" s="6"/>
      <c r="E45" s="6"/>
      <c r="F45" s="6">
        <v>298</v>
      </c>
      <c r="G45" s="9" t="s">
        <v>13</v>
      </c>
      <c r="H45" s="10">
        <f>39.89*1.035</f>
        <v>41.286149999999999</v>
      </c>
      <c r="I45" s="10">
        <f>41.18*1.035</f>
        <v>42.621299999999998</v>
      </c>
      <c r="J45" s="10">
        <f>42.53*1.035</f>
        <v>44.018549999999998</v>
      </c>
      <c r="K45" s="10">
        <f>43.91*1.035</f>
        <v>45.446849999999991</v>
      </c>
      <c r="L45" s="10">
        <f>45.33*1.035</f>
        <v>46.916549999999994</v>
      </c>
      <c r="M45" s="10">
        <f>46.81*1.035</f>
        <v>48.448349999999998</v>
      </c>
      <c r="N45" s="10">
        <f>48.33*1.035</f>
        <v>50.021549999999998</v>
      </c>
      <c r="O45" s="10">
        <f>49.91*1.035</f>
        <v>51.656849999999991</v>
      </c>
      <c r="P45" s="10"/>
    </row>
    <row r="46" spans="1:16" ht="21" x14ac:dyDescent="0.35">
      <c r="A46" s="6" t="s">
        <v>41</v>
      </c>
      <c r="B46" s="6"/>
      <c r="C46" s="6"/>
      <c r="D46" s="6"/>
      <c r="E46" s="6"/>
      <c r="F46" s="6">
        <v>266</v>
      </c>
      <c r="G46" s="9" t="s">
        <v>14</v>
      </c>
      <c r="H46" s="10">
        <f t="shared" ref="H46:O46" si="16">H45*173.3</f>
        <v>7154.889795</v>
      </c>
      <c r="I46" s="10">
        <f t="shared" si="16"/>
        <v>7386.2712899999997</v>
      </c>
      <c r="J46" s="10">
        <f t="shared" si="16"/>
        <v>7628.4147149999999</v>
      </c>
      <c r="K46" s="10">
        <f t="shared" si="16"/>
        <v>7875.9391049999986</v>
      </c>
      <c r="L46" s="10">
        <f t="shared" si="16"/>
        <v>8130.6381149999997</v>
      </c>
      <c r="M46" s="10">
        <f t="shared" si="16"/>
        <v>8396.0990550000006</v>
      </c>
      <c r="N46" s="10">
        <f t="shared" si="16"/>
        <v>8668.7346149999994</v>
      </c>
      <c r="O46" s="10">
        <f t="shared" si="16"/>
        <v>8952.1321049999988</v>
      </c>
      <c r="P46" s="10"/>
    </row>
    <row r="47" spans="1:16" ht="21" x14ac:dyDescent="0.35">
      <c r="A47" s="6" t="s">
        <v>42</v>
      </c>
      <c r="B47" s="6"/>
      <c r="C47" s="6"/>
      <c r="D47" s="6"/>
      <c r="E47" s="6"/>
      <c r="F47" s="6">
        <v>252</v>
      </c>
      <c r="G47" s="9" t="s">
        <v>15</v>
      </c>
      <c r="H47" s="10">
        <f>H45*2080</f>
        <v>85875.191999999995</v>
      </c>
      <c r="I47" s="10">
        <f t="shared" ref="I47:O47" si="17">I45*2080</f>
        <v>88652.303999999989</v>
      </c>
      <c r="J47" s="10">
        <f t="shared" si="17"/>
        <v>91558.583999999988</v>
      </c>
      <c r="K47" s="10">
        <f t="shared" si="17"/>
        <v>94529.447999999975</v>
      </c>
      <c r="L47" s="10">
        <f t="shared" si="17"/>
        <v>97586.423999999985</v>
      </c>
      <c r="M47" s="10">
        <f t="shared" si="17"/>
        <v>100772.568</v>
      </c>
      <c r="N47" s="10">
        <f t="shared" si="17"/>
        <v>104044.82399999999</v>
      </c>
      <c r="O47" s="10">
        <f t="shared" si="17"/>
        <v>107446.24799999998</v>
      </c>
      <c r="P47" s="10"/>
    </row>
    <row r="48" spans="1:16" ht="21" x14ac:dyDescent="0.35">
      <c r="A48" s="8" t="s">
        <v>160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10"/>
    </row>
    <row r="49" spans="1:16" ht="21" x14ac:dyDescent="0.35">
      <c r="A49" s="6" t="s">
        <v>43</v>
      </c>
      <c r="B49" s="6"/>
      <c r="C49" s="6"/>
      <c r="D49" s="6"/>
      <c r="E49" s="6"/>
      <c r="F49" s="6">
        <v>247</v>
      </c>
      <c r="G49" s="9" t="s">
        <v>13</v>
      </c>
      <c r="H49" s="10">
        <f>36.99*1.035</f>
        <v>38.284649999999999</v>
      </c>
      <c r="I49" s="10">
        <f>38.19*1.035</f>
        <v>39.526649999999997</v>
      </c>
      <c r="J49" s="10">
        <f>39.43*1.035</f>
        <v>40.810049999999997</v>
      </c>
      <c r="K49" s="10">
        <f>40.72*1.035</f>
        <v>42.145199999999996</v>
      </c>
      <c r="L49" s="10">
        <f>42.05*1.035</f>
        <v>43.52174999999999</v>
      </c>
      <c r="M49" s="10">
        <f>43.42*1.035</f>
        <v>44.939699999999995</v>
      </c>
      <c r="N49" s="10">
        <f>44.83*1.035</f>
        <v>46.399049999999995</v>
      </c>
      <c r="O49" s="10">
        <f>46.29*1.035</f>
        <v>47.910149999999994</v>
      </c>
      <c r="P49" s="10"/>
    </row>
    <row r="50" spans="1:16" ht="21" x14ac:dyDescent="0.35">
      <c r="A50" s="6"/>
      <c r="B50" s="6"/>
      <c r="C50" s="6"/>
      <c r="D50" s="6"/>
      <c r="E50" s="6"/>
      <c r="F50" s="6"/>
      <c r="G50" s="9" t="s">
        <v>14</v>
      </c>
      <c r="H50" s="10">
        <f t="shared" ref="H50:O50" si="18">H49*173.3</f>
        <v>6634.7298449999998</v>
      </c>
      <c r="I50" s="10">
        <f t="shared" si="18"/>
        <v>6849.9684449999995</v>
      </c>
      <c r="J50" s="10">
        <f t="shared" si="18"/>
        <v>7072.3816649999999</v>
      </c>
      <c r="K50" s="10">
        <f t="shared" si="18"/>
        <v>7303.7631599999995</v>
      </c>
      <c r="L50" s="10">
        <f t="shared" si="18"/>
        <v>7542.3192749999989</v>
      </c>
      <c r="M50" s="10">
        <f t="shared" si="18"/>
        <v>7788.0500099999999</v>
      </c>
      <c r="N50" s="10">
        <f t="shared" si="18"/>
        <v>8040.9553649999998</v>
      </c>
      <c r="O50" s="10">
        <f t="shared" si="18"/>
        <v>8302.8289949999998</v>
      </c>
      <c r="P50" s="10"/>
    </row>
    <row r="51" spans="1:16" ht="21" x14ac:dyDescent="0.35">
      <c r="A51" s="6"/>
      <c r="B51" s="6"/>
      <c r="C51" s="6"/>
      <c r="D51" s="6"/>
      <c r="E51" s="6"/>
      <c r="F51" s="6"/>
      <c r="G51" s="9" t="s">
        <v>15</v>
      </c>
      <c r="H51" s="10">
        <f>H49*1040</f>
        <v>39816.036</v>
      </c>
      <c r="I51" s="10">
        <f>I49*1040</f>
        <v>41107.715999999993</v>
      </c>
      <c r="J51" s="10">
        <f>J49*1040</f>
        <v>42442.451999999997</v>
      </c>
      <c r="K51" s="10">
        <f t="shared" ref="K51:O51" si="19">K49*1040</f>
        <v>43831.007999999994</v>
      </c>
      <c r="L51" s="10">
        <f t="shared" si="19"/>
        <v>45262.619999999988</v>
      </c>
      <c r="M51" s="10">
        <f t="shared" si="19"/>
        <v>46737.287999999993</v>
      </c>
      <c r="N51" s="10">
        <f t="shared" si="19"/>
        <v>48255.011999999995</v>
      </c>
      <c r="O51" s="10">
        <f t="shared" si="19"/>
        <v>49826.555999999997</v>
      </c>
      <c r="P51" s="10"/>
    </row>
    <row r="52" spans="1:16" ht="21" x14ac:dyDescent="0.35">
      <c r="A52" s="8" t="s">
        <v>161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6"/>
    </row>
    <row r="53" spans="1:16" ht="21" x14ac:dyDescent="0.35">
      <c r="A53" s="6" t="s">
        <v>43</v>
      </c>
      <c r="B53" s="6"/>
      <c r="C53" s="6"/>
      <c r="D53" s="6"/>
      <c r="E53" s="6"/>
      <c r="F53" s="6">
        <v>247</v>
      </c>
      <c r="G53" s="9" t="s">
        <v>13</v>
      </c>
      <c r="H53" s="10">
        <f>36.99*1.035</f>
        <v>38.284649999999999</v>
      </c>
      <c r="I53" s="10">
        <f>38.19*1.035</f>
        <v>39.526649999999997</v>
      </c>
      <c r="J53" s="10">
        <f>39.43*1.035</f>
        <v>40.810049999999997</v>
      </c>
      <c r="K53" s="10">
        <f>40.72*1.035</f>
        <v>42.145199999999996</v>
      </c>
      <c r="L53" s="10">
        <f>42.05*1.035</f>
        <v>43.52174999999999</v>
      </c>
      <c r="M53" s="10">
        <f>43.42*1.035</f>
        <v>44.939699999999995</v>
      </c>
      <c r="N53" s="10">
        <f>44.83*1.035</f>
        <v>46.399049999999995</v>
      </c>
      <c r="O53" s="10">
        <f>46.29*1.035</f>
        <v>47.910149999999994</v>
      </c>
      <c r="P53" s="10"/>
    </row>
    <row r="54" spans="1:16" ht="21" x14ac:dyDescent="0.35">
      <c r="A54" s="6" t="s">
        <v>44</v>
      </c>
      <c r="B54" s="6"/>
      <c r="C54" s="6" t="s">
        <v>24</v>
      </c>
      <c r="D54" s="6"/>
      <c r="E54" s="6"/>
      <c r="F54" s="6">
        <v>241</v>
      </c>
      <c r="G54" s="9" t="s">
        <v>14</v>
      </c>
      <c r="H54" s="10">
        <f t="shared" ref="H54:O54" si="20">H53*173.3</f>
        <v>6634.7298449999998</v>
      </c>
      <c r="I54" s="10">
        <f t="shared" si="20"/>
        <v>6849.9684449999995</v>
      </c>
      <c r="J54" s="10">
        <f t="shared" si="20"/>
        <v>7072.3816649999999</v>
      </c>
      <c r="K54" s="10">
        <f t="shared" si="20"/>
        <v>7303.7631599999995</v>
      </c>
      <c r="L54" s="10">
        <f t="shared" si="20"/>
        <v>7542.3192749999989</v>
      </c>
      <c r="M54" s="10">
        <f t="shared" si="20"/>
        <v>7788.0500099999999</v>
      </c>
      <c r="N54" s="10">
        <f t="shared" si="20"/>
        <v>8040.9553649999998</v>
      </c>
      <c r="O54" s="10">
        <f t="shared" si="20"/>
        <v>8302.8289949999998</v>
      </c>
      <c r="P54" s="10"/>
    </row>
    <row r="55" spans="1:16" ht="21" x14ac:dyDescent="0.35">
      <c r="A55" s="6" t="s">
        <v>45</v>
      </c>
      <c r="B55" s="6"/>
      <c r="C55" s="6"/>
      <c r="D55" s="6"/>
      <c r="E55" s="6"/>
      <c r="F55" s="6">
        <v>216</v>
      </c>
      <c r="G55" s="9" t="s">
        <v>15</v>
      </c>
      <c r="H55" s="10">
        <f>H53*2080</f>
        <v>79632.072</v>
      </c>
      <c r="I55" s="10">
        <f t="shared" ref="I55:O55" si="21">I53*2080</f>
        <v>82215.431999999986</v>
      </c>
      <c r="J55" s="10">
        <f t="shared" si="21"/>
        <v>84884.903999999995</v>
      </c>
      <c r="K55" s="10">
        <f t="shared" si="21"/>
        <v>87662.015999999989</v>
      </c>
      <c r="L55" s="10">
        <f t="shared" si="21"/>
        <v>90525.239999999976</v>
      </c>
      <c r="M55" s="10">
        <f t="shared" si="21"/>
        <v>93474.575999999986</v>
      </c>
      <c r="N55" s="10">
        <f t="shared" si="21"/>
        <v>96510.02399999999</v>
      </c>
      <c r="O55" s="10">
        <f t="shared" si="21"/>
        <v>99653.111999999994</v>
      </c>
      <c r="P55" s="10"/>
    </row>
    <row r="56" spans="1:16" ht="21" x14ac:dyDescent="0.35">
      <c r="A56" s="6" t="s">
        <v>105</v>
      </c>
      <c r="B56" s="6"/>
      <c r="C56" s="6"/>
      <c r="D56" s="6"/>
      <c r="E56" s="6"/>
      <c r="F56" s="6">
        <v>213</v>
      </c>
      <c r="G56" s="9"/>
      <c r="H56" s="10"/>
      <c r="I56" s="10"/>
      <c r="J56" s="10"/>
      <c r="K56" s="10"/>
      <c r="L56" s="10"/>
      <c r="M56" s="10"/>
      <c r="N56" s="10"/>
      <c r="O56" s="10"/>
      <c r="P56" s="10"/>
    </row>
    <row r="57" spans="1:16" ht="21" x14ac:dyDescent="0.35">
      <c r="A57" s="6" t="s">
        <v>46</v>
      </c>
      <c r="B57" s="6"/>
      <c r="C57" s="6"/>
      <c r="D57" s="6"/>
      <c r="E57" s="6"/>
      <c r="F57" s="6">
        <v>196</v>
      </c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21" x14ac:dyDescent="0.35">
      <c r="A58" s="8" t="s">
        <v>65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6"/>
    </row>
    <row r="59" spans="1:16" ht="21" x14ac:dyDescent="0.35">
      <c r="A59" s="6" t="s">
        <v>47</v>
      </c>
      <c r="B59" s="6"/>
      <c r="C59" s="6"/>
      <c r="D59" s="6"/>
      <c r="E59" s="6"/>
      <c r="F59" s="6">
        <v>194</v>
      </c>
      <c r="G59" s="9" t="s">
        <v>13</v>
      </c>
      <c r="H59" s="10">
        <f>34.3*1.035</f>
        <v>35.500499999999995</v>
      </c>
      <c r="I59" s="10">
        <f>35.41*1.035</f>
        <v>36.649349999999991</v>
      </c>
      <c r="J59" s="10">
        <f>36.56*1.035</f>
        <v>37.839599999999997</v>
      </c>
      <c r="K59" s="10">
        <f>37.75*1.035</f>
        <v>39.071249999999999</v>
      </c>
      <c r="L59" s="10">
        <f>38.98*1.035</f>
        <v>40.344299999999997</v>
      </c>
      <c r="M59" s="10">
        <f>40.25*1.035</f>
        <v>41.658749999999998</v>
      </c>
      <c r="N59" s="10">
        <f>41.55*1.035</f>
        <v>43.004249999999992</v>
      </c>
      <c r="O59" s="10">
        <f>42.9*1.035</f>
        <v>44.401499999999999</v>
      </c>
      <c r="P59" s="10"/>
    </row>
    <row r="60" spans="1:16" ht="21" x14ac:dyDescent="0.35">
      <c r="A60" s="6"/>
      <c r="B60" s="6"/>
      <c r="C60" s="6"/>
      <c r="D60" s="6"/>
      <c r="E60" s="6"/>
      <c r="F60" s="6"/>
      <c r="G60" s="9" t="s">
        <v>14</v>
      </c>
      <c r="H60" s="10">
        <f>H59*173.3</f>
        <v>6152.2366499999998</v>
      </c>
      <c r="I60" s="10">
        <f t="shared" ref="I60:O60" si="22">I59*173.3</f>
        <v>6351.3323549999986</v>
      </c>
      <c r="J60" s="10">
        <f t="shared" si="22"/>
        <v>6557.60268</v>
      </c>
      <c r="K60" s="10">
        <f t="shared" si="22"/>
        <v>6771.0476250000002</v>
      </c>
      <c r="L60" s="10">
        <f t="shared" si="22"/>
        <v>6991.6671900000001</v>
      </c>
      <c r="M60" s="10">
        <f t="shared" si="22"/>
        <v>7219.4613749999999</v>
      </c>
      <c r="N60" s="10">
        <f t="shared" si="22"/>
        <v>7452.636524999999</v>
      </c>
      <c r="O60" s="10">
        <f t="shared" si="22"/>
        <v>7694.7799500000001</v>
      </c>
      <c r="P60" s="10"/>
    </row>
    <row r="61" spans="1:16" ht="21" x14ac:dyDescent="0.35">
      <c r="A61" s="6"/>
      <c r="B61" s="6"/>
      <c r="C61" s="6"/>
      <c r="D61" s="6"/>
      <c r="E61" s="6"/>
      <c r="F61" s="6"/>
      <c r="G61" s="9" t="s">
        <v>15</v>
      </c>
      <c r="H61" s="10">
        <v>73844.100000000006</v>
      </c>
      <c r="I61" s="10">
        <f t="shared" ref="I61:O61" si="23">I59*2080</f>
        <v>76230.647999999986</v>
      </c>
      <c r="J61" s="10">
        <f t="shared" si="23"/>
        <v>78706.367999999988</v>
      </c>
      <c r="K61" s="10">
        <f t="shared" si="23"/>
        <v>81268.2</v>
      </c>
      <c r="L61" s="10">
        <f t="shared" si="23"/>
        <v>83916.144</v>
      </c>
      <c r="M61" s="10">
        <f t="shared" si="23"/>
        <v>86650.2</v>
      </c>
      <c r="N61" s="10">
        <f t="shared" si="23"/>
        <v>89448.839999999982</v>
      </c>
      <c r="O61" s="10">
        <f t="shared" si="23"/>
        <v>92355.12</v>
      </c>
      <c r="P61" s="10"/>
    </row>
    <row r="62" spans="1:16" ht="21" x14ac:dyDescent="0.35">
      <c r="A62" s="8" t="s">
        <v>64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6"/>
    </row>
    <row r="63" spans="1:16" ht="21" x14ac:dyDescent="0.35">
      <c r="A63" s="6" t="s">
        <v>48</v>
      </c>
      <c r="B63" s="6"/>
      <c r="C63" s="6"/>
      <c r="D63" s="6"/>
      <c r="E63" s="6"/>
      <c r="F63" s="6">
        <v>184</v>
      </c>
      <c r="G63" s="9" t="s">
        <v>13</v>
      </c>
      <c r="H63" s="10">
        <f>31.8*1.035</f>
        <v>32.912999999999997</v>
      </c>
      <c r="I63" s="10">
        <f>32.83*1.035</f>
        <v>33.979049999999994</v>
      </c>
      <c r="J63" s="10">
        <f>33.9*1.035</f>
        <v>35.086499999999994</v>
      </c>
      <c r="K63" s="10">
        <f>35.01*1.035</f>
        <v>36.235349999999997</v>
      </c>
      <c r="L63" s="10">
        <f>36.14*1.035</f>
        <v>37.404899999999998</v>
      </c>
      <c r="M63" s="10">
        <f>37.33*1.035</f>
        <v>38.636549999999993</v>
      </c>
      <c r="N63" s="10">
        <f>38.53*1.035</f>
        <v>39.878549999999997</v>
      </c>
      <c r="O63" s="10">
        <f>39.78*1.035</f>
        <v>41.1723</v>
      </c>
      <c r="P63" s="10"/>
    </row>
    <row r="64" spans="1:16" ht="21" x14ac:dyDescent="0.35">
      <c r="A64" s="6" t="s">
        <v>99</v>
      </c>
      <c r="B64" s="6"/>
      <c r="C64" s="6"/>
      <c r="D64" s="6"/>
      <c r="E64" s="6"/>
      <c r="F64" s="6">
        <v>179</v>
      </c>
      <c r="G64" s="9" t="s">
        <v>14</v>
      </c>
      <c r="H64" s="10">
        <f t="shared" ref="H64:O64" si="24">H63*173.3</f>
        <v>5703.8229000000001</v>
      </c>
      <c r="I64" s="10">
        <f t="shared" si="24"/>
        <v>5888.5693649999994</v>
      </c>
      <c r="J64" s="10">
        <f t="shared" si="24"/>
        <v>6080.4904499999993</v>
      </c>
      <c r="K64" s="10">
        <f t="shared" si="24"/>
        <v>6279.586155</v>
      </c>
      <c r="L64" s="10">
        <f t="shared" si="24"/>
        <v>6482.2691700000005</v>
      </c>
      <c r="M64" s="10">
        <f t="shared" si="24"/>
        <v>6695.7141149999989</v>
      </c>
      <c r="N64" s="10">
        <f t="shared" si="24"/>
        <v>6910.9527150000004</v>
      </c>
      <c r="O64" s="10">
        <f t="shared" si="24"/>
        <v>7135.1595900000002</v>
      </c>
      <c r="P64" s="10"/>
    </row>
    <row r="65" spans="1:16" ht="21" x14ac:dyDescent="0.35">
      <c r="A65" s="6" t="s">
        <v>51</v>
      </c>
      <c r="B65" s="6"/>
      <c r="C65" s="6"/>
      <c r="D65" s="6"/>
      <c r="E65" s="6"/>
      <c r="F65" s="6">
        <v>177</v>
      </c>
      <c r="G65" s="9" t="s">
        <v>15</v>
      </c>
      <c r="H65" s="10">
        <f>H63*2080</f>
        <v>68459.039999999994</v>
      </c>
      <c r="I65" s="10">
        <f t="shared" ref="I65:N65" si="25">I63*2080</f>
        <v>70676.423999999985</v>
      </c>
      <c r="J65" s="10">
        <f t="shared" si="25"/>
        <v>72979.919999999984</v>
      </c>
      <c r="K65" s="10">
        <f t="shared" si="25"/>
        <v>75369.527999999991</v>
      </c>
      <c r="L65" s="10">
        <f t="shared" si="25"/>
        <v>77802.191999999995</v>
      </c>
      <c r="M65" s="10">
        <f t="shared" si="25"/>
        <v>80364.02399999999</v>
      </c>
      <c r="N65" s="10">
        <f t="shared" si="25"/>
        <v>82947.383999999991</v>
      </c>
      <c r="O65" s="10">
        <f>O63*2080</f>
        <v>85638.384000000005</v>
      </c>
      <c r="P65" s="10"/>
    </row>
    <row r="66" spans="1:16" ht="21" x14ac:dyDescent="0.35">
      <c r="A66" s="6" t="s">
        <v>49</v>
      </c>
      <c r="B66" s="6"/>
      <c r="C66" s="6"/>
      <c r="D66" s="6"/>
      <c r="E66" s="6"/>
      <c r="F66" s="6">
        <v>172</v>
      </c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21" x14ac:dyDescent="0.35">
      <c r="A67" s="6" t="s">
        <v>50</v>
      </c>
      <c r="B67" s="6"/>
      <c r="C67" s="6"/>
      <c r="D67" s="6"/>
      <c r="E67" s="6"/>
      <c r="F67" s="6">
        <v>172</v>
      </c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21" x14ac:dyDescent="0.35">
      <c r="A68" s="6" t="s">
        <v>52</v>
      </c>
      <c r="B68" s="6"/>
      <c r="C68" s="6"/>
      <c r="D68" s="6"/>
      <c r="E68" s="6"/>
      <c r="F68" s="6">
        <v>171</v>
      </c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21" x14ac:dyDescent="0.35">
      <c r="A69" s="8" t="s">
        <v>158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6"/>
    </row>
    <row r="70" spans="1:16" ht="21" x14ac:dyDescent="0.35">
      <c r="A70" s="6" t="s">
        <v>152</v>
      </c>
      <c r="B70" s="6"/>
      <c r="C70" s="6"/>
      <c r="D70" s="6"/>
      <c r="E70" s="6"/>
      <c r="F70" s="6">
        <v>118</v>
      </c>
      <c r="G70" s="9" t="s">
        <v>13</v>
      </c>
      <c r="H70" s="10">
        <f>29.49*1.035</f>
        <v>30.522149999999996</v>
      </c>
      <c r="I70" s="10">
        <f>30.44*1.035</f>
        <v>31.505399999999998</v>
      </c>
      <c r="J70" s="10">
        <f>31.43*1.035</f>
        <v>32.530049999999996</v>
      </c>
      <c r="K70" s="10">
        <f>32.45*1.035</f>
        <v>33.585749999999997</v>
      </c>
      <c r="L70" s="10">
        <f>33.5*1.035</f>
        <v>34.672499999999999</v>
      </c>
      <c r="M70" s="10">
        <f>34.59*1.035</f>
        <v>35.800649999999997</v>
      </c>
      <c r="N70" s="10">
        <f>35.78*1.035</f>
        <v>37.032299999999999</v>
      </c>
      <c r="O70" s="10">
        <f>36.87*1.035</f>
        <v>38.160449999999997</v>
      </c>
      <c r="P70" s="10"/>
    </row>
    <row r="71" spans="1:16" ht="21" x14ac:dyDescent="0.35">
      <c r="A71" s="6"/>
      <c r="B71" s="6"/>
      <c r="C71" s="6"/>
      <c r="D71" s="6"/>
      <c r="E71" s="6"/>
      <c r="F71" s="6"/>
      <c r="G71" s="9" t="s">
        <v>14</v>
      </c>
      <c r="H71" s="10">
        <f>H70*86.67</f>
        <v>2645.3547404999999</v>
      </c>
      <c r="I71" s="10">
        <f t="shared" ref="I71:O71" si="26">I70*86.67</f>
        <v>2730.573018</v>
      </c>
      <c r="J71" s="10">
        <f t="shared" si="26"/>
        <v>2819.3794334999998</v>
      </c>
      <c r="K71" s="10">
        <f t="shared" si="26"/>
        <v>2910.8769524999998</v>
      </c>
      <c r="L71" s="10">
        <f t="shared" si="26"/>
        <v>3005.0655750000001</v>
      </c>
      <c r="M71" s="10">
        <f t="shared" si="26"/>
        <v>3102.8423355</v>
      </c>
      <c r="N71" s="10">
        <f t="shared" si="26"/>
        <v>3209.5894410000001</v>
      </c>
      <c r="O71" s="10">
        <f t="shared" si="26"/>
        <v>3307.3662015</v>
      </c>
      <c r="P71" s="10"/>
    </row>
    <row r="72" spans="1:16" ht="21" x14ac:dyDescent="0.35">
      <c r="A72" s="6"/>
      <c r="B72" s="6"/>
      <c r="C72" s="6"/>
      <c r="D72" s="6"/>
      <c r="E72" s="6"/>
      <c r="F72" s="6"/>
      <c r="G72" s="9" t="s">
        <v>15</v>
      </c>
      <c r="H72" s="10">
        <f>H70*1040</f>
        <v>31743.035999999996</v>
      </c>
      <c r="I72" s="10">
        <f t="shared" ref="I72:O72" si="27">I70*1040</f>
        <v>32765.615999999998</v>
      </c>
      <c r="J72" s="10">
        <f t="shared" si="27"/>
        <v>33831.251999999993</v>
      </c>
      <c r="K72" s="10">
        <f t="shared" si="27"/>
        <v>34929.18</v>
      </c>
      <c r="L72" s="10">
        <f t="shared" si="27"/>
        <v>36059.4</v>
      </c>
      <c r="M72" s="10">
        <f t="shared" si="27"/>
        <v>37232.675999999999</v>
      </c>
      <c r="N72" s="10">
        <f t="shared" si="27"/>
        <v>38513.591999999997</v>
      </c>
      <c r="O72" s="10">
        <f t="shared" si="27"/>
        <v>39686.867999999995</v>
      </c>
      <c r="P72" s="10"/>
    </row>
    <row r="73" spans="1:16" ht="21" x14ac:dyDescent="0.35">
      <c r="A73" s="8" t="s">
        <v>159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10"/>
    </row>
    <row r="74" spans="1:16" ht="21" x14ac:dyDescent="0.35">
      <c r="A74" s="6" t="s">
        <v>53</v>
      </c>
      <c r="B74" s="6"/>
      <c r="C74" s="6"/>
      <c r="D74" s="6"/>
      <c r="E74" s="6"/>
      <c r="F74" s="6">
        <v>141</v>
      </c>
      <c r="G74" s="9" t="s">
        <v>13</v>
      </c>
      <c r="H74" s="10">
        <f>29.49*1.035</f>
        <v>30.522149999999996</v>
      </c>
      <c r="I74" s="10">
        <f>30.44*1.035</f>
        <v>31.505399999999998</v>
      </c>
      <c r="J74" s="10">
        <f>31.43*1.035</f>
        <v>32.530049999999996</v>
      </c>
      <c r="K74" s="10">
        <f>32.45*1.035</f>
        <v>33.585749999999997</v>
      </c>
      <c r="L74" s="10">
        <f>33.5*1.035</f>
        <v>34.672499999999999</v>
      </c>
      <c r="M74" s="10">
        <f>34.59*1.035</f>
        <v>35.800649999999997</v>
      </c>
      <c r="N74" s="10">
        <f>35.78*1.035</f>
        <v>37.032299999999999</v>
      </c>
      <c r="O74" s="10">
        <f>36.87*1.035</f>
        <v>38.160449999999997</v>
      </c>
      <c r="P74" s="10"/>
    </row>
    <row r="75" spans="1:16" ht="21" x14ac:dyDescent="0.35">
      <c r="A75" s="6" t="s">
        <v>61</v>
      </c>
      <c r="B75" s="6"/>
      <c r="C75" s="6"/>
      <c r="D75" s="6"/>
      <c r="E75" s="6"/>
      <c r="F75" s="6">
        <v>111</v>
      </c>
      <c r="G75" s="9" t="s">
        <v>14</v>
      </c>
      <c r="H75" s="10">
        <f t="shared" ref="H75:O75" si="28">H74*173.3</f>
        <v>5289.4885949999998</v>
      </c>
      <c r="I75" s="10">
        <f t="shared" si="28"/>
        <v>5459.8858200000004</v>
      </c>
      <c r="J75" s="10">
        <f t="shared" si="28"/>
        <v>5637.4576649999999</v>
      </c>
      <c r="K75" s="10">
        <f t="shared" si="28"/>
        <v>5820.4104749999997</v>
      </c>
      <c r="L75" s="10">
        <f t="shared" si="28"/>
        <v>6008.7442500000006</v>
      </c>
      <c r="M75" s="10">
        <f t="shared" si="28"/>
        <v>6204.2526449999996</v>
      </c>
      <c r="N75" s="10">
        <f t="shared" si="28"/>
        <v>6417.6975900000007</v>
      </c>
      <c r="O75" s="10">
        <f t="shared" si="28"/>
        <v>6613.2059849999996</v>
      </c>
      <c r="P75" s="10"/>
    </row>
    <row r="76" spans="1:16" ht="21" x14ac:dyDescent="0.35">
      <c r="A76" s="6"/>
      <c r="B76" s="6"/>
      <c r="C76" s="6"/>
      <c r="D76" s="6"/>
      <c r="E76" s="6"/>
      <c r="F76" s="6"/>
      <c r="G76" s="9" t="s">
        <v>15</v>
      </c>
      <c r="H76" s="10">
        <f>H74*2080</f>
        <v>63486.071999999993</v>
      </c>
      <c r="I76" s="10">
        <f t="shared" ref="I76:O76" si="29">I74*2080</f>
        <v>65531.231999999996</v>
      </c>
      <c r="J76" s="10">
        <f t="shared" si="29"/>
        <v>67662.503999999986</v>
      </c>
      <c r="K76" s="10">
        <f t="shared" si="29"/>
        <v>69858.36</v>
      </c>
      <c r="L76" s="10">
        <f t="shared" si="29"/>
        <v>72118.8</v>
      </c>
      <c r="M76" s="10">
        <f t="shared" si="29"/>
        <v>74465.351999999999</v>
      </c>
      <c r="N76" s="10">
        <f t="shared" si="29"/>
        <v>77027.183999999994</v>
      </c>
      <c r="O76" s="10">
        <f t="shared" si="29"/>
        <v>79373.73599999999</v>
      </c>
      <c r="P76" s="10"/>
    </row>
    <row r="77" spans="1:16" ht="21" x14ac:dyDescent="0.35">
      <c r="A77" s="8" t="s">
        <v>156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6"/>
    </row>
    <row r="78" spans="1:16" ht="21" x14ac:dyDescent="0.35">
      <c r="A78" s="6" t="s">
        <v>54</v>
      </c>
      <c r="B78" s="6"/>
      <c r="C78" s="6"/>
      <c r="D78" s="6"/>
      <c r="E78" s="6"/>
      <c r="F78" s="6">
        <v>104</v>
      </c>
      <c r="G78" s="9" t="s">
        <v>13</v>
      </c>
      <c r="H78" s="10">
        <f>27.35*1.035</f>
        <v>28.30725</v>
      </c>
      <c r="I78" s="10">
        <f>28.24*1.035</f>
        <v>29.228399999999997</v>
      </c>
      <c r="J78" s="10">
        <f>29.16*1.035</f>
        <v>30.180599999999998</v>
      </c>
      <c r="K78" s="10">
        <f>30.1*1.035</f>
        <v>31.153499999999998</v>
      </c>
      <c r="L78" s="10">
        <f>31.08*1.035</f>
        <v>32.167799999999993</v>
      </c>
      <c r="M78" s="10">
        <f>32.08*1.035</f>
        <v>33.202799999999996</v>
      </c>
      <c r="N78" s="10">
        <f>33.12*1.035</f>
        <v>34.279199999999996</v>
      </c>
      <c r="O78" s="10">
        <f>34.2*1.035</f>
        <v>35.396999999999998</v>
      </c>
      <c r="P78" s="10"/>
    </row>
    <row r="79" spans="1:16" ht="21" x14ac:dyDescent="0.35">
      <c r="A79" s="6" t="s">
        <v>55</v>
      </c>
      <c r="B79" s="6"/>
      <c r="C79" s="6"/>
      <c r="D79" s="6"/>
      <c r="E79" s="6"/>
      <c r="F79" s="6">
        <v>104</v>
      </c>
      <c r="G79" s="9" t="s">
        <v>14</v>
      </c>
      <c r="H79" s="10">
        <f>H78*138.67</f>
        <v>3925.3663574999996</v>
      </c>
      <c r="I79" s="10">
        <f t="shared" ref="I79:O79" si="30">I78*138.67</f>
        <v>4053.1022279999993</v>
      </c>
      <c r="J79" s="10">
        <f t="shared" si="30"/>
        <v>4185.1438019999996</v>
      </c>
      <c r="K79" s="10">
        <f t="shared" si="30"/>
        <v>4320.055844999999</v>
      </c>
      <c r="L79" s="10">
        <f t="shared" si="30"/>
        <v>4460.7088259999982</v>
      </c>
      <c r="M79" s="10">
        <f t="shared" si="30"/>
        <v>4604.2322759999988</v>
      </c>
      <c r="N79" s="10">
        <f t="shared" si="30"/>
        <v>4753.4966639999993</v>
      </c>
      <c r="O79" s="10">
        <f t="shared" si="30"/>
        <v>4908.5019899999998</v>
      </c>
      <c r="P79" s="10"/>
    </row>
    <row r="80" spans="1:16" ht="21" x14ac:dyDescent="0.35">
      <c r="A80" s="6" t="s">
        <v>56</v>
      </c>
      <c r="B80" s="6"/>
      <c r="C80" s="6"/>
      <c r="D80" s="6"/>
      <c r="E80" s="6"/>
      <c r="F80" s="6">
        <v>104</v>
      </c>
      <c r="G80" s="9" t="s">
        <v>15</v>
      </c>
      <c r="H80" s="10">
        <f>H78*1664</f>
        <v>47103.264000000003</v>
      </c>
      <c r="I80" s="10">
        <f t="shared" ref="I80:O80" si="31">I78*1664</f>
        <v>48636.057599999993</v>
      </c>
      <c r="J80" s="10">
        <f t="shared" si="31"/>
        <v>50220.518400000001</v>
      </c>
      <c r="K80" s="10">
        <f t="shared" si="31"/>
        <v>51839.423999999999</v>
      </c>
      <c r="L80" s="10">
        <f t="shared" si="31"/>
        <v>53527.219199999985</v>
      </c>
      <c r="M80" s="10">
        <f t="shared" si="31"/>
        <v>55249.459199999998</v>
      </c>
      <c r="N80" s="10">
        <f t="shared" si="31"/>
        <v>57040.58879999999</v>
      </c>
      <c r="O80" s="10">
        <f t="shared" si="31"/>
        <v>58900.608</v>
      </c>
      <c r="P80" s="10"/>
    </row>
    <row r="81" spans="1:16" ht="21" x14ac:dyDescent="0.35">
      <c r="A81" s="8" t="s">
        <v>157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6"/>
    </row>
    <row r="82" spans="1:16" ht="21" x14ac:dyDescent="0.35">
      <c r="A82" s="6" t="s">
        <v>57</v>
      </c>
      <c r="B82" s="6"/>
      <c r="C82" s="6"/>
      <c r="D82" s="6"/>
      <c r="E82" s="6"/>
      <c r="F82" s="6">
        <v>104</v>
      </c>
      <c r="G82" s="9" t="s">
        <v>13</v>
      </c>
      <c r="H82" s="10">
        <f>27.35*1.035</f>
        <v>28.30725</v>
      </c>
      <c r="I82" s="10">
        <f>28.24*1.035</f>
        <v>29.228399999999997</v>
      </c>
      <c r="J82" s="10">
        <f>29.16*1.035</f>
        <v>30.180599999999998</v>
      </c>
      <c r="K82" s="10">
        <f>30.1*1.035</f>
        <v>31.153499999999998</v>
      </c>
      <c r="L82" s="10">
        <f>31.08*1.035</f>
        <v>32.167799999999993</v>
      </c>
      <c r="M82" s="10">
        <f>32.08*1.035</f>
        <v>33.202799999999996</v>
      </c>
      <c r="N82" s="10">
        <f>33.12*1.035</f>
        <v>34.279199999999996</v>
      </c>
      <c r="O82" s="10">
        <f>34.2*1.035</f>
        <v>35.396999999999998</v>
      </c>
      <c r="P82" s="6"/>
    </row>
    <row r="83" spans="1:16" ht="21" x14ac:dyDescent="0.35">
      <c r="A83" s="6" t="s">
        <v>58</v>
      </c>
      <c r="B83" s="6"/>
      <c r="C83" s="6"/>
      <c r="D83" s="6"/>
      <c r="E83" s="6"/>
      <c r="F83" s="6">
        <v>104</v>
      </c>
      <c r="G83" s="9" t="s">
        <v>14</v>
      </c>
      <c r="H83" s="10">
        <f t="shared" ref="H83:O83" si="32">H82*173.3</f>
        <v>4905.6464249999999</v>
      </c>
      <c r="I83" s="10">
        <f t="shared" si="32"/>
        <v>5065.28172</v>
      </c>
      <c r="J83" s="10">
        <f t="shared" si="32"/>
        <v>5230.2979800000003</v>
      </c>
      <c r="K83" s="10">
        <f t="shared" si="32"/>
        <v>5398.9015499999996</v>
      </c>
      <c r="L83" s="10">
        <f t="shared" si="32"/>
        <v>5574.6797399999987</v>
      </c>
      <c r="M83" s="10">
        <f t="shared" si="32"/>
        <v>5754.0452399999995</v>
      </c>
      <c r="N83" s="10">
        <f t="shared" si="32"/>
        <v>5940.58536</v>
      </c>
      <c r="O83" s="10">
        <f t="shared" si="32"/>
        <v>6134.3001000000004</v>
      </c>
      <c r="P83" s="6"/>
    </row>
    <row r="84" spans="1:16" ht="21" x14ac:dyDescent="0.35">
      <c r="A84" s="6"/>
      <c r="B84" s="6"/>
      <c r="C84" s="6"/>
      <c r="D84" s="6"/>
      <c r="E84" s="6"/>
      <c r="F84" s="6"/>
      <c r="G84" s="9" t="s">
        <v>15</v>
      </c>
      <c r="H84" s="10">
        <f t="shared" ref="H84:O84" si="33">H82*2080</f>
        <v>58879.08</v>
      </c>
      <c r="I84" s="10">
        <f t="shared" si="33"/>
        <v>60795.071999999993</v>
      </c>
      <c r="J84" s="10">
        <f t="shared" si="33"/>
        <v>62775.647999999994</v>
      </c>
      <c r="K84" s="10">
        <f t="shared" si="33"/>
        <v>64799.279999999992</v>
      </c>
      <c r="L84" s="10">
        <f t="shared" si="33"/>
        <v>66909.02399999999</v>
      </c>
      <c r="M84" s="10">
        <f t="shared" si="33"/>
        <v>69061.823999999993</v>
      </c>
      <c r="N84" s="10">
        <f t="shared" si="33"/>
        <v>71300.73599999999</v>
      </c>
      <c r="O84" s="10">
        <f t="shared" si="33"/>
        <v>73625.759999999995</v>
      </c>
      <c r="P84" s="6"/>
    </row>
    <row r="85" spans="1:16" ht="21" x14ac:dyDescent="0.35">
      <c r="A85" s="8" t="s">
        <v>63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6"/>
    </row>
    <row r="86" spans="1:16" ht="21" x14ac:dyDescent="0.35">
      <c r="A86" s="6" t="s">
        <v>59</v>
      </c>
      <c r="B86" s="6"/>
      <c r="C86" s="6"/>
      <c r="D86" s="6"/>
      <c r="E86" s="6"/>
      <c r="F86" s="6">
        <v>99</v>
      </c>
      <c r="G86" s="9" t="s">
        <v>13</v>
      </c>
      <c r="H86" s="10">
        <f>25.36*1.035</f>
        <v>26.247599999999998</v>
      </c>
      <c r="I86" s="10">
        <f>26.18*1.035</f>
        <v>27.096299999999999</v>
      </c>
      <c r="J86" s="10">
        <f>27.03*1.035</f>
        <v>27.976050000000001</v>
      </c>
      <c r="K86" s="10">
        <f>27.9*1.035</f>
        <v>28.876499999999997</v>
      </c>
      <c r="L86" s="10">
        <f>28.82*1.035</f>
        <v>29.828699999999998</v>
      </c>
      <c r="M86" s="10">
        <f>29.74*1.035</f>
        <v>30.780899999999995</v>
      </c>
      <c r="N86" s="10">
        <f>30.71*1.035</f>
        <v>31.784849999999999</v>
      </c>
      <c r="O86" s="10">
        <f>31.71*1.035</f>
        <v>32.819849999999995</v>
      </c>
      <c r="P86" s="10"/>
    </row>
    <row r="87" spans="1:16" ht="21" x14ac:dyDescent="0.35">
      <c r="A87" s="17"/>
      <c r="B87" s="6"/>
      <c r="C87" s="6"/>
      <c r="D87" s="6"/>
      <c r="E87" s="6"/>
      <c r="F87" s="6"/>
      <c r="G87" s="9" t="s">
        <v>14</v>
      </c>
      <c r="H87" s="10">
        <f>H86*86.67</f>
        <v>2274.879492</v>
      </c>
      <c r="I87" s="10">
        <f t="shared" ref="I87:O87" si="34">I86*86.67</f>
        <v>2348.4363210000001</v>
      </c>
      <c r="J87" s="10">
        <f t="shared" si="34"/>
        <v>2424.6842535000001</v>
      </c>
      <c r="K87" s="10">
        <f t="shared" si="34"/>
        <v>2502.7262549999996</v>
      </c>
      <c r="L87" s="10">
        <f t="shared" si="34"/>
        <v>2585.2534289999999</v>
      </c>
      <c r="M87" s="10">
        <f t="shared" si="34"/>
        <v>2667.7806029999997</v>
      </c>
      <c r="N87" s="10">
        <f t="shared" si="34"/>
        <v>2754.7929494999998</v>
      </c>
      <c r="O87" s="10">
        <f t="shared" si="34"/>
        <v>2844.4963994999998</v>
      </c>
      <c r="P87" s="10"/>
    </row>
    <row r="88" spans="1:16" ht="21" x14ac:dyDescent="0.35">
      <c r="A88" s="6"/>
      <c r="B88" s="6"/>
      <c r="C88" s="6"/>
      <c r="D88" s="6"/>
      <c r="E88" s="6"/>
      <c r="F88" s="6"/>
      <c r="G88" s="9" t="s">
        <v>15</v>
      </c>
      <c r="H88" s="10">
        <f>H86*1040</f>
        <v>27297.503999999997</v>
      </c>
      <c r="I88" s="10">
        <f t="shared" ref="I88:O88" si="35">I86*1040</f>
        <v>28180.151999999998</v>
      </c>
      <c r="J88" s="10">
        <f t="shared" si="35"/>
        <v>29095.092000000001</v>
      </c>
      <c r="K88" s="10">
        <f t="shared" si="35"/>
        <v>30031.559999999998</v>
      </c>
      <c r="L88" s="10">
        <f t="shared" si="35"/>
        <v>31021.847999999998</v>
      </c>
      <c r="M88" s="10">
        <f t="shared" si="35"/>
        <v>32012.135999999995</v>
      </c>
      <c r="N88" s="10">
        <f t="shared" si="35"/>
        <v>33056.243999999999</v>
      </c>
      <c r="O88" s="10">
        <f t="shared" si="35"/>
        <v>34132.643999999993</v>
      </c>
      <c r="P88" s="10"/>
    </row>
    <row r="89" spans="1:16" ht="21" x14ac:dyDescent="0.35">
      <c r="A89" s="8" t="s">
        <v>62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6"/>
    </row>
    <row r="90" spans="1:16" ht="21" x14ac:dyDescent="0.35">
      <c r="A90" s="6" t="s">
        <v>60</v>
      </c>
      <c r="B90" s="6"/>
      <c r="C90" s="6"/>
      <c r="D90" s="6"/>
      <c r="E90" s="6"/>
      <c r="F90" s="6">
        <v>98</v>
      </c>
      <c r="G90" s="9" t="s">
        <v>13</v>
      </c>
      <c r="H90" s="10">
        <f>23.51*1.035</f>
        <v>24.332850000000001</v>
      </c>
      <c r="I90" s="10">
        <f>24.27*1.035</f>
        <v>25.119449999999997</v>
      </c>
      <c r="J90" s="10">
        <f>25.06*1.035</f>
        <v>25.937099999999997</v>
      </c>
      <c r="K90" s="10">
        <f>25.88*1.035</f>
        <v>26.785799999999998</v>
      </c>
      <c r="L90" s="10">
        <f>26.73*1.035</f>
        <v>27.66555</v>
      </c>
      <c r="M90" s="10">
        <f>27.59*1.035</f>
        <v>28.555649999999996</v>
      </c>
      <c r="N90" s="10">
        <f>28.5*1.035</f>
        <v>29.497499999999999</v>
      </c>
      <c r="O90" s="10">
        <f>29.41*1.035</f>
        <v>30.439349999999997</v>
      </c>
      <c r="P90" s="10"/>
    </row>
    <row r="91" spans="1:16" ht="21" x14ac:dyDescent="0.35">
      <c r="A91" s="48" t="s">
        <v>151</v>
      </c>
      <c r="B91" s="6"/>
      <c r="C91" s="6"/>
      <c r="D91" s="6"/>
      <c r="E91" s="6"/>
      <c r="F91" s="6"/>
      <c r="G91" s="9" t="s">
        <v>14</v>
      </c>
      <c r="H91" s="10">
        <f>H90*86.67</f>
        <v>2108.9281095000001</v>
      </c>
      <c r="I91" s="10">
        <f t="shared" ref="I91:O91" si="36">I90*86.67</f>
        <v>2177.1027314999997</v>
      </c>
      <c r="J91" s="10">
        <f t="shared" si="36"/>
        <v>2247.9684569999999</v>
      </c>
      <c r="K91" s="10">
        <f t="shared" si="36"/>
        <v>2321.5252860000001</v>
      </c>
      <c r="L91" s="10">
        <f t="shared" si="36"/>
        <v>2397.7732185</v>
      </c>
      <c r="M91" s="10">
        <f t="shared" si="36"/>
        <v>2474.9181854999997</v>
      </c>
      <c r="N91" s="10">
        <f t="shared" si="36"/>
        <v>2556.5483249999997</v>
      </c>
      <c r="O91" s="10">
        <f t="shared" si="36"/>
        <v>2638.1784644999998</v>
      </c>
      <c r="P91" s="10"/>
    </row>
    <row r="92" spans="1:16" ht="21" x14ac:dyDescent="0.35">
      <c r="A92" s="6"/>
      <c r="B92" s="6"/>
      <c r="C92" s="6"/>
      <c r="D92" s="6"/>
      <c r="E92" s="6"/>
      <c r="F92" s="6"/>
      <c r="G92" s="9" t="s">
        <v>15</v>
      </c>
      <c r="H92" s="10">
        <f>H90*1040</f>
        <v>25306.164000000001</v>
      </c>
      <c r="I92" s="10">
        <f t="shared" ref="I92:O92" si="37">I90*1040</f>
        <v>26124.227999999996</v>
      </c>
      <c r="J92" s="10">
        <f t="shared" si="37"/>
        <v>26974.583999999999</v>
      </c>
      <c r="K92" s="10">
        <f t="shared" si="37"/>
        <v>27857.232</v>
      </c>
      <c r="L92" s="10">
        <f t="shared" si="37"/>
        <v>28772.171999999999</v>
      </c>
      <c r="M92" s="10">
        <f t="shared" si="37"/>
        <v>29697.875999999997</v>
      </c>
      <c r="N92" s="10">
        <f t="shared" si="37"/>
        <v>30677.399999999998</v>
      </c>
      <c r="O92" s="10">
        <f t="shared" si="37"/>
        <v>31656.923999999999</v>
      </c>
      <c r="P92" s="10"/>
    </row>
    <row r="93" spans="1:16" ht="21" x14ac:dyDescent="0.3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21" x14ac:dyDescent="0.3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21" x14ac:dyDescent="0.3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21" x14ac:dyDescent="0.3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21" x14ac:dyDescent="0.3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21" x14ac:dyDescent="0.3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21" x14ac:dyDescent="0.3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21" x14ac:dyDescent="0.3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21" x14ac:dyDescent="0.3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21" x14ac:dyDescent="0.3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21" x14ac:dyDescent="0.3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2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21" x14ac:dyDescent="0.3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21" x14ac:dyDescent="0.3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21" x14ac:dyDescent="0.3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21" x14ac:dyDescent="0.3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21" x14ac:dyDescent="0.3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21" x14ac:dyDescent="0.3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21" x14ac:dyDescent="0.3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21" x14ac:dyDescent="0.3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21" x14ac:dyDescent="0.3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21" x14ac:dyDescent="0.3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21" x14ac:dyDescent="0.3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21" x14ac:dyDescent="0.3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21" x14ac:dyDescent="0.3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21" x14ac:dyDescent="0.3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21" x14ac:dyDescent="0.3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21" x14ac:dyDescent="0.3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21" x14ac:dyDescent="0.3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21" x14ac:dyDescent="0.3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21" x14ac:dyDescent="0.3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21" x14ac:dyDescent="0.3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21" x14ac:dyDescent="0.3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21" x14ac:dyDescent="0.3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21" x14ac:dyDescent="0.3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21" x14ac:dyDescent="0.3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21" x14ac:dyDescent="0.3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21" x14ac:dyDescent="0.3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21" x14ac:dyDescent="0.3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21" x14ac:dyDescent="0.3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21" x14ac:dyDescent="0.3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21" x14ac:dyDescent="0.3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21" x14ac:dyDescent="0.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21" x14ac:dyDescent="0.3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21" x14ac:dyDescent="0.3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21" x14ac:dyDescent="0.3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21" x14ac:dyDescent="0.3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21" x14ac:dyDescent="0.3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21" x14ac:dyDescent="0.3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21" x14ac:dyDescent="0.3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21" x14ac:dyDescent="0.3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21" x14ac:dyDescent="0.3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21" x14ac:dyDescent="0.3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21" x14ac:dyDescent="0.3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21" x14ac:dyDescent="0.3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21" x14ac:dyDescent="0.3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21" x14ac:dyDescent="0.3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21" x14ac:dyDescent="0.3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21" x14ac:dyDescent="0.3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21" x14ac:dyDescent="0.3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21" x14ac:dyDescent="0.3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21" x14ac:dyDescent="0.3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21" x14ac:dyDescent="0.3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21" x14ac:dyDescent="0.3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21" x14ac:dyDescent="0.3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21" x14ac:dyDescent="0.3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21" x14ac:dyDescent="0.3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21" x14ac:dyDescent="0.3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21" x14ac:dyDescent="0.3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</sheetData>
  <mergeCells count="9">
    <mergeCell ref="A44:D44"/>
    <mergeCell ref="A4:D4"/>
    <mergeCell ref="A3:O3"/>
    <mergeCell ref="A12:C12"/>
    <mergeCell ref="A43:P43"/>
    <mergeCell ref="A9:C9"/>
    <mergeCell ref="A10:C10"/>
    <mergeCell ref="A11:C11"/>
    <mergeCell ref="A42:P42"/>
  </mergeCells>
  <pageMargins left="0.25" right="0.25" top="0.75" bottom="0.75" header="0.3" footer="0.3"/>
  <pageSetup paperSize="3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77AF-4C2C-4601-8723-DF845A3A5234}">
  <dimension ref="A1:E49"/>
  <sheetViews>
    <sheetView workbookViewId="0">
      <selection activeCell="F1" sqref="F1:L97"/>
    </sheetView>
  </sheetViews>
  <sheetFormatPr defaultRowHeight="21" x14ac:dyDescent="0.35"/>
  <cols>
    <col min="1" max="1" width="52.5703125" bestFit="1" customWidth="1"/>
    <col min="2" max="2" width="10.5703125" hidden="1" customWidth="1"/>
    <col min="3" max="3" width="9" style="28" hidden="1" customWidth="1"/>
    <col min="4" max="4" width="11.85546875" style="6" bestFit="1" customWidth="1"/>
    <col min="5" max="5" width="18" style="6" bestFit="1" customWidth="1"/>
  </cols>
  <sheetData>
    <row r="1" spans="1:5" ht="23.25" x14ac:dyDescent="0.35">
      <c r="A1" s="59" t="s">
        <v>74</v>
      </c>
      <c r="B1" s="59"/>
      <c r="C1" s="59"/>
      <c r="D1" s="6">
        <v>2025</v>
      </c>
    </row>
    <row r="2" spans="1:5" x14ac:dyDescent="0.35">
      <c r="A2" s="18" t="s">
        <v>75</v>
      </c>
      <c r="B2" s="19">
        <v>29.59</v>
      </c>
      <c r="C2" s="31">
        <f t="shared" ref="C2:C7" si="0">B2*4%</f>
        <v>1.1836</v>
      </c>
      <c r="D2" s="7">
        <v>31.85</v>
      </c>
      <c r="E2" s="7">
        <f t="shared" ref="E2:E7" si="1">D2*2080</f>
        <v>66248</v>
      </c>
    </row>
    <row r="3" spans="1:5" x14ac:dyDescent="0.35">
      <c r="A3" s="18" t="s">
        <v>76</v>
      </c>
      <c r="B3" s="19">
        <v>31.22</v>
      </c>
      <c r="C3" s="31">
        <f t="shared" si="0"/>
        <v>1.2487999999999999</v>
      </c>
      <c r="D3" s="7">
        <v>33.61</v>
      </c>
      <c r="E3" s="7">
        <f t="shared" si="1"/>
        <v>69908.800000000003</v>
      </c>
    </row>
    <row r="4" spans="1:5" x14ac:dyDescent="0.35">
      <c r="A4" s="13" t="s">
        <v>77</v>
      </c>
      <c r="B4" s="19">
        <v>33.200000000000003</v>
      </c>
      <c r="C4" s="31">
        <f t="shared" si="0"/>
        <v>1.3280000000000001</v>
      </c>
      <c r="D4" s="7">
        <v>35.74</v>
      </c>
      <c r="E4" s="7">
        <f t="shared" si="1"/>
        <v>74339.199999999997</v>
      </c>
    </row>
    <row r="5" spans="1:5" x14ac:dyDescent="0.35">
      <c r="A5" s="13" t="s">
        <v>78</v>
      </c>
      <c r="B5" s="19">
        <v>35.35</v>
      </c>
      <c r="C5" s="31">
        <f t="shared" si="0"/>
        <v>1.4140000000000001</v>
      </c>
      <c r="D5" s="7">
        <v>38.049999999999997</v>
      </c>
      <c r="E5" s="7">
        <f t="shared" si="1"/>
        <v>79144</v>
      </c>
    </row>
    <row r="6" spans="1:5" x14ac:dyDescent="0.35">
      <c r="A6" s="13" t="s">
        <v>79</v>
      </c>
      <c r="B6" s="19">
        <v>36.76</v>
      </c>
      <c r="C6" s="31">
        <f t="shared" si="0"/>
        <v>1.4703999999999999</v>
      </c>
      <c r="D6" s="7">
        <v>39.57</v>
      </c>
      <c r="E6" s="7">
        <f t="shared" si="1"/>
        <v>82305.600000000006</v>
      </c>
    </row>
    <row r="7" spans="1:5" x14ac:dyDescent="0.35">
      <c r="A7" s="13" t="s">
        <v>80</v>
      </c>
      <c r="B7" s="19">
        <v>38.1</v>
      </c>
      <c r="C7" s="31">
        <f t="shared" si="0"/>
        <v>1.524</v>
      </c>
      <c r="D7" s="7">
        <v>41.01</v>
      </c>
      <c r="E7" s="7">
        <f t="shared" si="1"/>
        <v>85300.800000000003</v>
      </c>
    </row>
    <row r="9" spans="1:5" ht="23.25" x14ac:dyDescent="0.35">
      <c r="A9" s="59" t="s">
        <v>154</v>
      </c>
      <c r="B9" s="59"/>
      <c r="C9" s="59"/>
    </row>
    <row r="10" spans="1:5" ht="18.75" customHeight="1" x14ac:dyDescent="0.35">
      <c r="A10" s="18" t="s">
        <v>84</v>
      </c>
      <c r="B10" s="21">
        <f>B13*70%</f>
        <v>26.550999999999998</v>
      </c>
      <c r="C10" s="32">
        <f>B10*4%</f>
        <v>1.0620399999999999</v>
      </c>
      <c r="D10" s="27">
        <v>28.58</v>
      </c>
      <c r="E10" s="27">
        <f>D10*2080</f>
        <v>59446.399999999994</v>
      </c>
    </row>
    <row r="11" spans="1:5" ht="23.25" x14ac:dyDescent="0.35">
      <c r="A11" s="18" t="s">
        <v>86</v>
      </c>
      <c r="B11" s="21">
        <f>B13*80%</f>
        <v>30.344000000000001</v>
      </c>
      <c r="C11" s="32">
        <f>B11*4%</f>
        <v>1.2137600000000002</v>
      </c>
      <c r="D11" s="27">
        <v>32.659999999999997</v>
      </c>
      <c r="E11" s="27">
        <f>D11*2080</f>
        <v>67932.799999999988</v>
      </c>
    </row>
    <row r="12" spans="1:5" ht="23.25" x14ac:dyDescent="0.35">
      <c r="A12" s="19" t="s">
        <v>87</v>
      </c>
      <c r="B12" s="21">
        <f>B13*90%</f>
        <v>34.137</v>
      </c>
      <c r="C12" s="32">
        <f>B12*4%</f>
        <v>1.36548</v>
      </c>
      <c r="D12" s="27">
        <v>36.75</v>
      </c>
      <c r="E12" s="27">
        <f>D12*2080</f>
        <v>76440</v>
      </c>
    </row>
    <row r="13" spans="1:5" ht="23.25" x14ac:dyDescent="0.35">
      <c r="A13" s="19" t="s">
        <v>89</v>
      </c>
      <c r="B13" s="22">
        <v>37.93</v>
      </c>
      <c r="C13" s="32">
        <f>B13*4%</f>
        <v>1.5172000000000001</v>
      </c>
      <c r="D13" s="27">
        <v>40.83</v>
      </c>
      <c r="E13" s="27">
        <f>D13*2080</f>
        <v>84926.399999999994</v>
      </c>
    </row>
    <row r="15" spans="1:5" ht="23.25" x14ac:dyDescent="0.35">
      <c r="A15" s="59" t="s">
        <v>81</v>
      </c>
      <c r="B15" s="59"/>
      <c r="C15" s="59"/>
    </row>
    <row r="16" spans="1:5" ht="23.25" x14ac:dyDescent="0.35">
      <c r="A16" s="18" t="s">
        <v>84</v>
      </c>
      <c r="B16" s="23">
        <f>B19*0.7</f>
        <v>24.990000000000002</v>
      </c>
      <c r="C16" s="33">
        <f>B16*4%</f>
        <v>0.99960000000000016</v>
      </c>
      <c r="D16" s="27">
        <v>26.9</v>
      </c>
      <c r="E16" s="27">
        <f>D16*2080</f>
        <v>55952</v>
      </c>
    </row>
    <row r="17" spans="1:5" ht="23.25" x14ac:dyDescent="0.35">
      <c r="A17" s="18" t="s">
        <v>86</v>
      </c>
      <c r="B17" s="23">
        <f>B19*0.8</f>
        <v>28.560000000000002</v>
      </c>
      <c r="C17" s="33">
        <f>B17*4%</f>
        <v>1.1424000000000001</v>
      </c>
      <c r="D17" s="27">
        <v>30.74</v>
      </c>
      <c r="E17" s="27">
        <f>D17*2080</f>
        <v>63939.199999999997</v>
      </c>
    </row>
    <row r="18" spans="1:5" ht="23.25" x14ac:dyDescent="0.35">
      <c r="A18" s="18" t="s">
        <v>87</v>
      </c>
      <c r="B18" s="23">
        <f>B19*0.9</f>
        <v>32.130000000000003</v>
      </c>
      <c r="C18" s="33">
        <f>B18*4%</f>
        <v>1.2852000000000001</v>
      </c>
      <c r="D18" s="27">
        <v>34.590000000000003</v>
      </c>
      <c r="E18" s="27">
        <f>D18*2080</f>
        <v>71947.200000000012</v>
      </c>
    </row>
    <row r="19" spans="1:5" ht="23.25" x14ac:dyDescent="0.35">
      <c r="A19" s="19" t="s">
        <v>89</v>
      </c>
      <c r="B19" s="22">
        <v>35.700000000000003</v>
      </c>
      <c r="C19" s="33">
        <f>B19*4%</f>
        <v>1.4280000000000002</v>
      </c>
      <c r="D19" s="27">
        <v>38.43</v>
      </c>
      <c r="E19" s="27">
        <f>D19*2080</f>
        <v>79934.399999999994</v>
      </c>
    </row>
    <row r="21" spans="1:5" ht="23.25" x14ac:dyDescent="0.35">
      <c r="A21" s="59" t="s">
        <v>82</v>
      </c>
      <c r="B21" s="59"/>
      <c r="C21" s="59"/>
    </row>
    <row r="22" spans="1:5" ht="23.25" x14ac:dyDescent="0.35">
      <c r="A22" s="18" t="s">
        <v>98</v>
      </c>
      <c r="B22" s="21">
        <f>B25*0.7</f>
        <v>24.898999999999997</v>
      </c>
      <c r="C22" s="33">
        <f>B22*4%</f>
        <v>0.99595999999999996</v>
      </c>
      <c r="D22" s="27">
        <v>26.8</v>
      </c>
      <c r="E22" s="27">
        <f>D22*2080</f>
        <v>55744</v>
      </c>
    </row>
    <row r="23" spans="1:5" ht="23.25" x14ac:dyDescent="0.35">
      <c r="A23" s="18" t="s">
        <v>86</v>
      </c>
      <c r="B23" s="21">
        <f>B25*0.8</f>
        <v>28.456000000000003</v>
      </c>
      <c r="C23" s="33">
        <f>B23*4%</f>
        <v>1.1382400000000001</v>
      </c>
      <c r="D23" s="27">
        <v>30.63</v>
      </c>
      <c r="E23" s="27">
        <f>D23*2080</f>
        <v>63710.400000000001</v>
      </c>
    </row>
    <row r="24" spans="1:5" ht="23.25" x14ac:dyDescent="0.35">
      <c r="A24" s="18" t="s">
        <v>87</v>
      </c>
      <c r="B24" s="21">
        <f>B25*0.9</f>
        <v>32.012999999999998</v>
      </c>
      <c r="C24" s="33">
        <f>B24*4%</f>
        <v>1.2805199999999999</v>
      </c>
      <c r="D24" s="27">
        <v>34.46</v>
      </c>
      <c r="E24" s="27">
        <f>D24*2080</f>
        <v>71676.800000000003</v>
      </c>
    </row>
    <row r="25" spans="1:5" ht="23.25" x14ac:dyDescent="0.35">
      <c r="A25" s="19" t="s">
        <v>89</v>
      </c>
      <c r="B25" s="22">
        <v>35.57</v>
      </c>
      <c r="C25" s="33">
        <f>B25*4%</f>
        <v>1.4228000000000001</v>
      </c>
      <c r="D25" s="27">
        <v>38.29</v>
      </c>
      <c r="E25" s="27">
        <f>D25*2080</f>
        <v>79643.199999999997</v>
      </c>
    </row>
    <row r="27" spans="1:5" ht="23.25" x14ac:dyDescent="0.35">
      <c r="A27" s="20" t="s">
        <v>83</v>
      </c>
      <c r="B27" s="20"/>
      <c r="C27" s="34"/>
    </row>
    <row r="28" spans="1:5" x14ac:dyDescent="0.35">
      <c r="A28" s="13" t="s">
        <v>84</v>
      </c>
      <c r="B28" s="19">
        <v>39.14</v>
      </c>
      <c r="C28" s="28">
        <f>B28*4%</f>
        <v>1.5656000000000001</v>
      </c>
      <c r="D28" s="7">
        <v>42.13</v>
      </c>
      <c r="E28" s="7">
        <f>D28*2080</f>
        <v>87630.400000000009</v>
      </c>
    </row>
    <row r="29" spans="1:5" x14ac:dyDescent="0.35">
      <c r="A29" s="13" t="s">
        <v>86</v>
      </c>
      <c r="B29" s="19">
        <v>42.33</v>
      </c>
      <c r="C29" s="28">
        <f>B29*4%</f>
        <v>1.6932</v>
      </c>
      <c r="D29" s="7">
        <v>45.56</v>
      </c>
      <c r="E29" s="7">
        <f>D29*2080</f>
        <v>94764.800000000003</v>
      </c>
    </row>
    <row r="30" spans="1:5" x14ac:dyDescent="0.35">
      <c r="A30" s="13" t="s">
        <v>87</v>
      </c>
      <c r="B30" s="19">
        <v>45.55</v>
      </c>
      <c r="C30" s="28">
        <f>B30*4%</f>
        <v>1.8219999999999998</v>
      </c>
      <c r="D30" s="7">
        <v>49.03</v>
      </c>
      <c r="E30" s="7">
        <f>D30*2080</f>
        <v>101982.40000000001</v>
      </c>
    </row>
    <row r="31" spans="1:5" x14ac:dyDescent="0.35">
      <c r="A31" s="13" t="s">
        <v>89</v>
      </c>
      <c r="B31" s="19">
        <v>48.75</v>
      </c>
      <c r="C31" s="28">
        <f>B31*4%</f>
        <v>1.95</v>
      </c>
      <c r="D31" s="7">
        <v>52.47</v>
      </c>
      <c r="E31" s="7">
        <f>D31*2080</f>
        <v>109137.59999999999</v>
      </c>
    </row>
    <row r="33" spans="1:5" ht="23.25" x14ac:dyDescent="0.35">
      <c r="A33" s="59" t="s">
        <v>88</v>
      </c>
      <c r="B33" s="59"/>
      <c r="C33" s="59"/>
    </row>
    <row r="34" spans="1:5" x14ac:dyDescent="0.35">
      <c r="A34" s="13" t="s">
        <v>84</v>
      </c>
      <c r="B34" s="19">
        <v>30.97</v>
      </c>
      <c r="C34" s="28">
        <f>B34*4%</f>
        <v>1.2387999999999999</v>
      </c>
      <c r="D34" s="7">
        <v>33.33</v>
      </c>
      <c r="E34" s="7">
        <f>D34*2080</f>
        <v>69326.399999999994</v>
      </c>
    </row>
    <row r="35" spans="1:5" x14ac:dyDescent="0.35">
      <c r="A35" s="13" t="s">
        <v>86</v>
      </c>
      <c r="B35" s="19">
        <v>35.39</v>
      </c>
      <c r="C35" s="28">
        <f>B35*4%</f>
        <v>1.4156</v>
      </c>
      <c r="D35" s="7">
        <v>38.1</v>
      </c>
      <c r="E35" s="7">
        <f>D35*2080</f>
        <v>79248</v>
      </c>
    </row>
    <row r="36" spans="1:5" x14ac:dyDescent="0.35">
      <c r="A36" s="13" t="s">
        <v>87</v>
      </c>
      <c r="B36" s="19">
        <v>39.82</v>
      </c>
      <c r="C36" s="28">
        <f>B36*4%</f>
        <v>1.5928</v>
      </c>
      <c r="D36" s="7">
        <v>42.86</v>
      </c>
      <c r="E36" s="7">
        <f>D36*2080</f>
        <v>89148.800000000003</v>
      </c>
    </row>
    <row r="37" spans="1:5" x14ac:dyDescent="0.35">
      <c r="A37" s="13" t="s">
        <v>89</v>
      </c>
      <c r="B37" s="19">
        <v>44.24</v>
      </c>
      <c r="C37" s="28">
        <f>B37*4%</f>
        <v>1.7696000000000001</v>
      </c>
      <c r="D37" s="7">
        <v>47.62</v>
      </c>
      <c r="E37" s="7">
        <f>D37*2080</f>
        <v>99049.599999999991</v>
      </c>
    </row>
    <row r="39" spans="1:5" ht="23.25" x14ac:dyDescent="0.35">
      <c r="A39" s="59" t="s">
        <v>90</v>
      </c>
      <c r="B39" s="59"/>
      <c r="C39" s="59"/>
      <c r="D39" s="6" t="s">
        <v>155</v>
      </c>
    </row>
    <row r="40" spans="1:5" x14ac:dyDescent="0.35">
      <c r="A40" s="19" t="s">
        <v>84</v>
      </c>
      <c r="B40" s="19">
        <v>20.95</v>
      </c>
      <c r="C40" s="28">
        <f>B40*4%</f>
        <v>0.83799999999999997</v>
      </c>
      <c r="D40" s="7">
        <v>22.55</v>
      </c>
      <c r="E40" s="7">
        <f>D40*1040</f>
        <v>23452</v>
      </c>
    </row>
    <row r="41" spans="1:5" x14ac:dyDescent="0.35">
      <c r="A41" s="13" t="s">
        <v>86</v>
      </c>
      <c r="B41" s="19">
        <v>23.94</v>
      </c>
      <c r="C41" s="28">
        <f>B41*4%</f>
        <v>0.95760000000000012</v>
      </c>
      <c r="D41" s="7">
        <v>25.77</v>
      </c>
      <c r="E41" s="7">
        <f>D41*1040</f>
        <v>26800.799999999999</v>
      </c>
    </row>
    <row r="42" spans="1:5" x14ac:dyDescent="0.35">
      <c r="A42" s="13" t="s">
        <v>87</v>
      </c>
      <c r="B42" s="19">
        <v>26.93</v>
      </c>
      <c r="C42" s="28">
        <f>B42*4%</f>
        <v>1.0771999999999999</v>
      </c>
      <c r="D42" s="7">
        <v>28.99</v>
      </c>
      <c r="E42" s="7">
        <f>D42*1040</f>
        <v>30149.599999999999</v>
      </c>
    </row>
    <row r="43" spans="1:5" x14ac:dyDescent="0.35">
      <c r="A43" s="13" t="s">
        <v>89</v>
      </c>
      <c r="B43" s="19">
        <v>29.92</v>
      </c>
      <c r="C43" s="28">
        <f>B43*4%</f>
        <v>1.1968000000000001</v>
      </c>
      <c r="D43" s="7">
        <v>32.21</v>
      </c>
      <c r="E43" s="7">
        <f>D43*1040</f>
        <v>33498.400000000001</v>
      </c>
    </row>
    <row r="45" spans="1:5" ht="23.25" x14ac:dyDescent="0.35">
      <c r="A45" s="59" t="s">
        <v>97</v>
      </c>
      <c r="B45" s="59"/>
      <c r="C45" s="59"/>
    </row>
    <row r="46" spans="1:5" x14ac:dyDescent="0.35">
      <c r="A46" s="19" t="s">
        <v>84</v>
      </c>
      <c r="B46" s="24">
        <f>B49*0.7</f>
        <v>24.443999999999999</v>
      </c>
      <c r="C46" s="28">
        <f>B46*4%</f>
        <v>0.97775999999999996</v>
      </c>
      <c r="D46" s="27">
        <v>26.31</v>
      </c>
      <c r="E46" s="27">
        <f>D46*2080</f>
        <v>54724.799999999996</v>
      </c>
    </row>
    <row r="47" spans="1:5" x14ac:dyDescent="0.35">
      <c r="A47" s="13" t="s">
        <v>86</v>
      </c>
      <c r="B47" s="24">
        <f>B49*0.8</f>
        <v>27.936000000000003</v>
      </c>
      <c r="C47" s="28">
        <f>B47*4%</f>
        <v>1.1174400000000002</v>
      </c>
      <c r="D47" s="27">
        <v>30.07</v>
      </c>
      <c r="E47" s="27">
        <f>D47*2080</f>
        <v>62545.599999999999</v>
      </c>
    </row>
    <row r="48" spans="1:5" x14ac:dyDescent="0.35">
      <c r="A48" s="13" t="s">
        <v>87</v>
      </c>
      <c r="B48" s="24">
        <f>B49*0.9</f>
        <v>31.428000000000001</v>
      </c>
      <c r="C48" s="28">
        <f>B48*4%</f>
        <v>1.25712</v>
      </c>
      <c r="D48" s="27">
        <v>33.83</v>
      </c>
      <c r="E48" s="27">
        <f>D48*2080</f>
        <v>70366.399999999994</v>
      </c>
    </row>
    <row r="49" spans="1:5" x14ac:dyDescent="0.35">
      <c r="A49" s="13" t="s">
        <v>89</v>
      </c>
      <c r="B49" s="24">
        <v>34.92</v>
      </c>
      <c r="C49" s="28">
        <f>B49*4%</f>
        <v>1.3968</v>
      </c>
      <c r="D49" s="27">
        <v>37.590000000000003</v>
      </c>
      <c r="E49" s="27">
        <f>D49*2080</f>
        <v>78187.200000000012</v>
      </c>
    </row>
  </sheetData>
  <mergeCells count="7">
    <mergeCell ref="A45:C45"/>
    <mergeCell ref="A21:C21"/>
    <mergeCell ref="A33:C33"/>
    <mergeCell ref="A39:C39"/>
    <mergeCell ref="A1:C1"/>
    <mergeCell ref="A9:C9"/>
    <mergeCell ref="A15:C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6250-F775-4B1B-A9B8-515D432BF727}">
  <dimension ref="A1:E11"/>
  <sheetViews>
    <sheetView workbookViewId="0">
      <selection activeCell="F1" sqref="F1:O13"/>
    </sheetView>
  </sheetViews>
  <sheetFormatPr defaultRowHeight="15" x14ac:dyDescent="0.25"/>
  <cols>
    <col min="1" max="1" width="50.5703125" customWidth="1"/>
    <col min="2" max="2" width="10.85546875" hidden="1" customWidth="1"/>
    <col min="3" max="3" width="11" hidden="1" customWidth="1"/>
    <col min="4" max="4" width="12.7109375" bestFit="1" customWidth="1"/>
    <col min="5" max="6" width="19" bestFit="1" customWidth="1"/>
    <col min="7" max="7" width="20.5703125" bestFit="1" customWidth="1"/>
  </cols>
  <sheetData>
    <row r="1" spans="1:5" ht="23.25" x14ac:dyDescent="0.35">
      <c r="A1" s="20" t="s">
        <v>91</v>
      </c>
      <c r="B1" s="20"/>
      <c r="C1" s="20"/>
      <c r="D1" s="50">
        <v>2025</v>
      </c>
      <c r="E1" s="50"/>
    </row>
    <row r="2" spans="1:5" ht="23.25" x14ac:dyDescent="0.35">
      <c r="A2" s="18" t="s">
        <v>84</v>
      </c>
      <c r="B2" s="21">
        <f>B5*0.7</f>
        <v>27.538</v>
      </c>
      <c r="C2" s="26">
        <f>B2*4%</f>
        <v>1.1015200000000001</v>
      </c>
      <c r="D2" s="54">
        <v>29.65</v>
      </c>
      <c r="E2" s="54">
        <f>D2*2080</f>
        <v>61672</v>
      </c>
    </row>
    <row r="3" spans="1:5" ht="23.25" x14ac:dyDescent="0.35">
      <c r="A3" s="18" t="s">
        <v>86</v>
      </c>
      <c r="B3" s="21">
        <f>B5*0.8</f>
        <v>31.472000000000005</v>
      </c>
      <c r="C3" s="26">
        <f>B3*4%</f>
        <v>1.2588800000000002</v>
      </c>
      <c r="D3" s="54">
        <v>33.880000000000003</v>
      </c>
      <c r="E3" s="54">
        <f>D3*2080</f>
        <v>70470.400000000009</v>
      </c>
    </row>
    <row r="4" spans="1:5" ht="23.25" x14ac:dyDescent="0.35">
      <c r="A4" s="18" t="s">
        <v>87</v>
      </c>
      <c r="B4" s="21">
        <f>B5*0.9</f>
        <v>35.406000000000006</v>
      </c>
      <c r="C4" s="26">
        <f>B4*4%</f>
        <v>1.4162400000000002</v>
      </c>
      <c r="D4" s="54">
        <v>38.119999999999997</v>
      </c>
      <c r="E4" s="54">
        <f>D4*2080</f>
        <v>79289.599999999991</v>
      </c>
    </row>
    <row r="5" spans="1:5" ht="23.25" x14ac:dyDescent="0.35">
      <c r="A5" s="19" t="s">
        <v>89</v>
      </c>
      <c r="B5" s="24">
        <v>39.340000000000003</v>
      </c>
      <c r="C5" s="26">
        <f>B5*4%</f>
        <v>1.5736000000000001</v>
      </c>
      <c r="D5" s="54">
        <v>42.35</v>
      </c>
      <c r="E5" s="54">
        <f>D5*2080</f>
        <v>88088</v>
      </c>
    </row>
    <row r="7" spans="1:5" ht="23.25" x14ac:dyDescent="0.35">
      <c r="A7" s="59" t="s">
        <v>92</v>
      </c>
      <c r="B7" s="59"/>
      <c r="C7" s="59"/>
      <c r="D7" s="59"/>
      <c r="E7" s="51"/>
    </row>
    <row r="8" spans="1:5" ht="21" x14ac:dyDescent="0.35">
      <c r="A8" s="13" t="s">
        <v>84</v>
      </c>
      <c r="B8" s="19">
        <f>B11*70%</f>
        <v>24.653999999999996</v>
      </c>
      <c r="C8" s="7">
        <f>B8*4%</f>
        <v>0.98615999999999993</v>
      </c>
      <c r="D8" s="7">
        <v>26.54</v>
      </c>
      <c r="E8" s="7">
        <f>D8*2080</f>
        <v>55203.199999999997</v>
      </c>
    </row>
    <row r="9" spans="1:5" ht="21" x14ac:dyDescent="0.35">
      <c r="A9" s="13" t="s">
        <v>86</v>
      </c>
      <c r="B9" s="19">
        <f>B11*80%</f>
        <v>28.176000000000002</v>
      </c>
      <c r="C9" s="7">
        <f>B9*4%</f>
        <v>1.12704</v>
      </c>
      <c r="D9" s="7">
        <v>30.33</v>
      </c>
      <c r="E9" s="7">
        <f>D9*2080</f>
        <v>63086.399999999994</v>
      </c>
    </row>
    <row r="10" spans="1:5" ht="21" x14ac:dyDescent="0.35">
      <c r="A10" s="13" t="s">
        <v>87</v>
      </c>
      <c r="B10" s="19">
        <f>B11*90%</f>
        <v>31.698</v>
      </c>
      <c r="C10" s="7">
        <f>B10*4%</f>
        <v>1.2679199999999999</v>
      </c>
      <c r="D10" s="7">
        <v>34.119999999999997</v>
      </c>
      <c r="E10" s="7">
        <f>D10*2080</f>
        <v>70969.599999999991</v>
      </c>
    </row>
    <row r="11" spans="1:5" ht="21" x14ac:dyDescent="0.35">
      <c r="A11" s="13" t="s">
        <v>89</v>
      </c>
      <c r="B11" s="19">
        <v>35.22</v>
      </c>
      <c r="C11" s="7">
        <f>B11*4%</f>
        <v>1.4088000000000001</v>
      </c>
      <c r="D11" s="7">
        <v>37.909999999999997</v>
      </c>
      <c r="E11" s="7">
        <f>D11*2080</f>
        <v>78852.799999999988</v>
      </c>
    </row>
  </sheetData>
  <mergeCells count="1">
    <mergeCell ref="A7:D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2842-2CCB-4BB2-A6CD-B6F24E2705CF}">
  <dimension ref="A1:E21"/>
  <sheetViews>
    <sheetView topLeftCell="D1" zoomScale="85" zoomScaleNormal="85" workbookViewId="0">
      <selection activeCell="F1" sqref="F1:AA14"/>
    </sheetView>
  </sheetViews>
  <sheetFormatPr defaultRowHeight="15" x14ac:dyDescent="0.25"/>
  <cols>
    <col min="1" max="1" width="29.7109375" customWidth="1"/>
    <col min="2" max="2" width="10" hidden="1" customWidth="1"/>
    <col min="3" max="3" width="9.28515625" hidden="1" customWidth="1"/>
    <col min="4" max="4" width="10.7109375" bestFit="1" customWidth="1"/>
    <col min="5" max="5" width="18" bestFit="1" customWidth="1"/>
    <col min="6" max="6" width="17.85546875" bestFit="1" customWidth="1"/>
    <col min="7" max="8" width="24.5703125" bestFit="1" customWidth="1"/>
    <col min="9" max="9" width="19.140625" bestFit="1" customWidth="1"/>
    <col min="10" max="10" width="12.42578125" bestFit="1" customWidth="1"/>
    <col min="15" max="15" width="9.85546875" bestFit="1" customWidth="1"/>
  </cols>
  <sheetData>
    <row r="1" spans="1:5" ht="23.25" x14ac:dyDescent="0.35">
      <c r="A1" s="20" t="s">
        <v>93</v>
      </c>
      <c r="B1" s="20"/>
      <c r="C1" s="20"/>
      <c r="D1">
        <v>2025</v>
      </c>
    </row>
    <row r="2" spans="1:5" ht="21" x14ac:dyDescent="0.35">
      <c r="A2" s="19"/>
      <c r="C2" s="7">
        <f>A2*4%</f>
        <v>0</v>
      </c>
      <c r="D2" s="7">
        <v>60.02</v>
      </c>
      <c r="E2" s="7">
        <f>D2*2080</f>
        <v>124841.60000000001</v>
      </c>
    </row>
    <row r="4" spans="1:5" ht="23.25" x14ac:dyDescent="0.35">
      <c r="A4" s="59" t="s">
        <v>94</v>
      </c>
      <c r="B4" s="59"/>
      <c r="C4" s="59"/>
    </row>
    <row r="5" spans="1:5" ht="21" x14ac:dyDescent="0.35">
      <c r="A5" s="13" t="s">
        <v>84</v>
      </c>
      <c r="B5" s="19">
        <v>34.06</v>
      </c>
      <c r="C5" s="7">
        <f>B5*4%</f>
        <v>1.3624000000000001</v>
      </c>
      <c r="D5" s="7">
        <v>37.46</v>
      </c>
      <c r="E5" s="7">
        <f>D5*2080</f>
        <v>77916.800000000003</v>
      </c>
    </row>
    <row r="6" spans="1:5" ht="21" x14ac:dyDescent="0.35">
      <c r="A6" s="13" t="s">
        <v>86</v>
      </c>
      <c r="B6" s="19">
        <v>38.5</v>
      </c>
      <c r="C6" s="7">
        <f>B6*4%</f>
        <v>1.54</v>
      </c>
      <c r="D6" s="7">
        <v>41.64</v>
      </c>
      <c r="E6" s="7">
        <f>D6*2080</f>
        <v>86611.199999999997</v>
      </c>
    </row>
    <row r="7" spans="1:5" ht="21" x14ac:dyDescent="0.35">
      <c r="A7" s="13" t="s">
        <v>87</v>
      </c>
      <c r="B7" s="19">
        <v>42.93</v>
      </c>
      <c r="C7" s="7">
        <f>B7*4%</f>
        <v>1.7172000000000001</v>
      </c>
      <c r="D7" s="7">
        <v>46.44</v>
      </c>
      <c r="E7" s="7">
        <f>D7*2080</f>
        <v>96595.199999999997</v>
      </c>
    </row>
    <row r="8" spans="1:5" ht="21" x14ac:dyDescent="0.35">
      <c r="A8" s="13" t="s">
        <v>89</v>
      </c>
      <c r="B8" s="19">
        <v>47.37</v>
      </c>
      <c r="C8" s="7">
        <f>B8*4%</f>
        <v>1.8948</v>
      </c>
      <c r="D8" s="7">
        <v>51.23</v>
      </c>
      <c r="E8" s="7">
        <f>D8*2080</f>
        <v>106558.39999999999</v>
      </c>
    </row>
    <row r="12" spans="1:5" x14ac:dyDescent="0.25">
      <c r="C12" s="37"/>
      <c r="D12" s="38"/>
      <c r="E12" s="38"/>
    </row>
    <row r="13" spans="1:5" x14ac:dyDescent="0.25">
      <c r="C13" s="37"/>
      <c r="D13" s="38"/>
      <c r="E13" s="38"/>
    </row>
    <row r="14" spans="1:5" x14ac:dyDescent="0.25">
      <c r="C14" s="37"/>
      <c r="D14" s="38"/>
      <c r="E14" s="38"/>
    </row>
    <row r="15" spans="1:5" x14ac:dyDescent="0.25">
      <c r="C15" s="37"/>
      <c r="D15" s="38"/>
      <c r="E15" s="38"/>
    </row>
    <row r="18" spans="3:5" x14ac:dyDescent="0.25">
      <c r="C18" s="37"/>
      <c r="D18" s="38"/>
      <c r="E18" s="38"/>
    </row>
    <row r="19" spans="3:5" x14ac:dyDescent="0.25">
      <c r="C19" s="37"/>
      <c r="D19" s="38"/>
      <c r="E19" s="38"/>
    </row>
    <row r="20" spans="3:5" x14ac:dyDescent="0.25">
      <c r="C20" s="37"/>
      <c r="D20" s="38"/>
      <c r="E20" s="38"/>
    </row>
    <row r="21" spans="3:5" x14ac:dyDescent="0.25">
      <c r="C21" s="37"/>
      <c r="D21" s="38"/>
      <c r="E21" s="38"/>
    </row>
  </sheetData>
  <mergeCells count="1"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8915-E51F-466F-8F6D-4FC267D69C54}">
  <dimension ref="A1:G28"/>
  <sheetViews>
    <sheetView workbookViewId="0">
      <selection activeCell="E16" sqref="E16"/>
    </sheetView>
  </sheetViews>
  <sheetFormatPr defaultRowHeight="21" x14ac:dyDescent="0.35"/>
  <cols>
    <col min="1" max="1" width="26.28515625" customWidth="1"/>
    <col min="2" max="2" width="10" hidden="1" customWidth="1"/>
    <col min="3" max="3" width="0" hidden="1" customWidth="1"/>
    <col min="4" max="4" width="10.7109375" style="6" bestFit="1" customWidth="1"/>
    <col min="5" max="5" width="16.140625" style="6" customWidth="1"/>
    <col min="6" max="6" width="22.42578125" bestFit="1" customWidth="1"/>
    <col min="7" max="7" width="19" bestFit="1" customWidth="1"/>
    <col min="8" max="8" width="24.140625" customWidth="1"/>
    <col min="9" max="9" width="17.5703125" bestFit="1" customWidth="1"/>
    <col min="10" max="10" width="17.140625" bestFit="1" customWidth="1"/>
    <col min="11" max="11" width="20.85546875" customWidth="1"/>
    <col min="12" max="12" width="18.140625" customWidth="1"/>
    <col min="14" max="14" width="11" bestFit="1" customWidth="1"/>
  </cols>
  <sheetData>
    <row r="1" spans="1:7" ht="23.25" x14ac:dyDescent="0.35">
      <c r="A1" s="20" t="s">
        <v>95</v>
      </c>
      <c r="B1" s="20"/>
      <c r="C1" s="20"/>
      <c r="D1" s="6">
        <v>2025</v>
      </c>
    </row>
    <row r="2" spans="1:7" ht="23.25" x14ac:dyDescent="0.35">
      <c r="A2" s="60" t="s">
        <v>100</v>
      </c>
      <c r="B2" s="60"/>
      <c r="C2" s="60"/>
      <c r="D2" s="60"/>
      <c r="E2" s="53"/>
    </row>
    <row r="3" spans="1:7" x14ac:dyDescent="0.35">
      <c r="A3" s="13" t="s">
        <v>84</v>
      </c>
      <c r="B3" s="19">
        <v>24.03</v>
      </c>
      <c r="C3" s="25">
        <f>B3*4%</f>
        <v>0.96120000000000005</v>
      </c>
      <c r="D3" s="7">
        <v>25.86</v>
      </c>
      <c r="E3" s="7">
        <f>(D3*2756)+(D3*1.5*156)</f>
        <v>77321.400000000009</v>
      </c>
    </row>
    <row r="4" spans="1:7" x14ac:dyDescent="0.35">
      <c r="A4" s="13" t="s">
        <v>85</v>
      </c>
      <c r="B4" s="19">
        <v>25.6</v>
      </c>
      <c r="C4" s="25">
        <f>B4*4%</f>
        <v>1.024</v>
      </c>
      <c r="D4" s="7">
        <v>27.55</v>
      </c>
      <c r="E4" s="7">
        <f>(D4*2756)+(D4*1.5*156)</f>
        <v>82374.5</v>
      </c>
      <c r="G4" s="25"/>
    </row>
    <row r="5" spans="1:7" x14ac:dyDescent="0.35">
      <c r="A5" s="13" t="s">
        <v>86</v>
      </c>
      <c r="B5" s="19">
        <v>27.2</v>
      </c>
      <c r="C5" s="25">
        <f>B5*4%</f>
        <v>1.0880000000000001</v>
      </c>
      <c r="D5" s="7">
        <v>29.28</v>
      </c>
      <c r="E5" s="7">
        <f>(D5*2756)+(D5*1.5*156)</f>
        <v>87547.200000000012</v>
      </c>
      <c r="G5" s="25"/>
    </row>
    <row r="6" spans="1:7" x14ac:dyDescent="0.35">
      <c r="A6" s="13" t="s">
        <v>87</v>
      </c>
      <c r="B6" s="19">
        <v>28.78</v>
      </c>
      <c r="C6" s="25">
        <f>B6*4%</f>
        <v>1.1512</v>
      </c>
      <c r="D6" s="7">
        <v>30.98</v>
      </c>
      <c r="E6" s="7">
        <f>(D6*2756)+(D6*1.5*156)</f>
        <v>92630.200000000012</v>
      </c>
    </row>
    <row r="7" spans="1:7" x14ac:dyDescent="0.35">
      <c r="A7" s="13" t="s">
        <v>89</v>
      </c>
      <c r="B7" s="19">
        <v>30.36</v>
      </c>
      <c r="C7" s="25">
        <f>B7*4%</f>
        <v>1.2143999999999999</v>
      </c>
      <c r="D7" s="7">
        <v>32.67</v>
      </c>
      <c r="E7" s="7">
        <f>(D7*2756)+(D7*1.5*156)</f>
        <v>97683.3</v>
      </c>
    </row>
    <row r="9" spans="1:7" ht="23.25" x14ac:dyDescent="0.35">
      <c r="A9" s="60" t="s">
        <v>101</v>
      </c>
      <c r="B9" s="60"/>
      <c r="C9" s="60"/>
      <c r="D9" s="60"/>
      <c r="E9" s="52"/>
    </row>
    <row r="10" spans="1:7" x14ac:dyDescent="0.35">
      <c r="A10" s="13" t="s">
        <v>84</v>
      </c>
      <c r="B10" s="19">
        <v>28.95</v>
      </c>
      <c r="C10" s="25">
        <f>B10*4%</f>
        <v>1.1579999999999999</v>
      </c>
      <c r="D10" s="7">
        <v>31.16</v>
      </c>
      <c r="E10" s="7">
        <f>(D10*2288)+(225.05*26)</f>
        <v>77145.38</v>
      </c>
    </row>
    <row r="11" spans="1:7" x14ac:dyDescent="0.35">
      <c r="A11" s="13" t="s">
        <v>85</v>
      </c>
      <c r="B11" s="19">
        <v>30.84</v>
      </c>
      <c r="C11" s="25">
        <f>B11*4%</f>
        <v>1.2336</v>
      </c>
      <c r="D11" s="7">
        <v>33.200000000000003</v>
      </c>
      <c r="E11" s="7">
        <f>(D11*2288)+(239.58*26)</f>
        <v>82190.680000000008</v>
      </c>
    </row>
    <row r="12" spans="1:7" x14ac:dyDescent="0.35">
      <c r="A12" s="13" t="s">
        <v>86</v>
      </c>
      <c r="B12" s="19">
        <v>32.76</v>
      </c>
      <c r="C12" s="25">
        <f>B12*4%</f>
        <v>1.3104</v>
      </c>
      <c r="D12" s="7">
        <v>35.26</v>
      </c>
      <c r="E12" s="7">
        <f>(D12*2288)+(254.61*26)</f>
        <v>87294.739999999991</v>
      </c>
    </row>
    <row r="13" spans="1:7" x14ac:dyDescent="0.35">
      <c r="A13" s="13" t="s">
        <v>87</v>
      </c>
      <c r="B13" s="19">
        <v>34.67</v>
      </c>
      <c r="C13" s="25">
        <f>B13*4%</f>
        <v>1.3868</v>
      </c>
      <c r="D13" s="7">
        <v>37.32</v>
      </c>
      <c r="E13" s="7">
        <f>(D13*2288)+(269.37*26)</f>
        <v>92391.78</v>
      </c>
    </row>
    <row r="14" spans="1:7" x14ac:dyDescent="0.35">
      <c r="A14" s="13" t="s">
        <v>89</v>
      </c>
      <c r="B14" s="19">
        <v>36.57</v>
      </c>
      <c r="C14" s="25">
        <f>B14*4%</f>
        <v>1.4628000000000001</v>
      </c>
      <c r="D14" s="7">
        <v>39.36</v>
      </c>
      <c r="E14" s="7">
        <f>(D14*2288)+(284.13*26)</f>
        <v>97443.06</v>
      </c>
    </row>
    <row r="15" spans="1:7" x14ac:dyDescent="0.35">
      <c r="A15" s="13"/>
      <c r="B15" s="19"/>
      <c r="C15" s="25"/>
      <c r="D15" s="7"/>
      <c r="E15" s="7"/>
    </row>
    <row r="16" spans="1:7" ht="23.25" x14ac:dyDescent="0.35">
      <c r="A16" s="60" t="s">
        <v>102</v>
      </c>
      <c r="B16" s="60"/>
      <c r="C16" s="60"/>
      <c r="D16" s="60"/>
      <c r="E16" s="49"/>
    </row>
    <row r="17" spans="1:6" x14ac:dyDescent="0.35">
      <c r="A17" s="13" t="s">
        <v>84</v>
      </c>
      <c r="B17" s="19">
        <v>31.84</v>
      </c>
      <c r="C17" s="25">
        <f>B17*4%</f>
        <v>1.2736000000000001</v>
      </c>
      <c r="D17" s="7">
        <v>34.270000000000003</v>
      </c>
      <c r="E17" s="7">
        <f>(D17*2080)+(225.05*26)</f>
        <v>77132.900000000009</v>
      </c>
      <c r="F17" s="25"/>
    </row>
    <row r="18" spans="1:6" x14ac:dyDescent="0.35">
      <c r="A18" s="13" t="s">
        <v>85</v>
      </c>
      <c r="B18" s="19">
        <v>33.92</v>
      </c>
      <c r="C18" s="25">
        <f>B18*4%</f>
        <v>1.3568</v>
      </c>
      <c r="D18" s="7">
        <v>36.51</v>
      </c>
      <c r="E18" s="7">
        <f>(D18*2080)+(239.58*26)</f>
        <v>82169.88</v>
      </c>
    </row>
    <row r="19" spans="1:6" x14ac:dyDescent="0.35">
      <c r="A19" s="13" t="s">
        <v>86</v>
      </c>
      <c r="B19" s="19">
        <v>36.04</v>
      </c>
      <c r="C19" s="25">
        <f>B19*4%</f>
        <v>1.4416</v>
      </c>
      <c r="D19" s="7">
        <v>38.79</v>
      </c>
      <c r="E19" s="7">
        <f>(D19*2080)+(254.61*26)</f>
        <v>87303.06</v>
      </c>
    </row>
    <row r="20" spans="1:6" x14ac:dyDescent="0.35">
      <c r="A20" s="13" t="s">
        <v>87</v>
      </c>
      <c r="B20" s="19">
        <v>38.130000000000003</v>
      </c>
      <c r="C20" s="25">
        <f>B20*4%</f>
        <v>1.5252000000000001</v>
      </c>
      <c r="D20" s="7">
        <v>41.04</v>
      </c>
      <c r="E20" s="7">
        <f>(D20*2080)+(269.37*26)</f>
        <v>92366.819999999992</v>
      </c>
    </row>
    <row r="21" spans="1:6" x14ac:dyDescent="0.35">
      <c r="A21" s="13" t="s">
        <v>89</v>
      </c>
      <c r="B21" s="19">
        <v>40.229999999999997</v>
      </c>
      <c r="C21" s="25">
        <f>B21*4%</f>
        <v>1.6092</v>
      </c>
      <c r="D21" s="7">
        <v>43.3</v>
      </c>
      <c r="E21" s="7">
        <f>(D21*2080)+(284.13*26)</f>
        <v>97451.38</v>
      </c>
    </row>
    <row r="23" spans="1:6" ht="23.25" x14ac:dyDescent="0.35">
      <c r="A23" s="59" t="s">
        <v>96</v>
      </c>
      <c r="B23" s="59"/>
      <c r="C23" s="59"/>
    </row>
    <row r="24" spans="1:6" x14ac:dyDescent="0.35">
      <c r="A24" s="13" t="s">
        <v>84</v>
      </c>
      <c r="B24" s="19">
        <v>32.69</v>
      </c>
      <c r="C24" s="25">
        <f>B24*4%</f>
        <v>1.3075999999999999</v>
      </c>
      <c r="D24" s="7">
        <v>35.19</v>
      </c>
      <c r="E24" s="7">
        <f>D24*2080</f>
        <v>73195.199999999997</v>
      </c>
    </row>
    <row r="25" spans="1:6" x14ac:dyDescent="0.35">
      <c r="A25" s="13" t="s">
        <v>85</v>
      </c>
      <c r="B25" s="19">
        <v>35.17</v>
      </c>
      <c r="C25" s="25">
        <f>B25*4%</f>
        <v>1.4068000000000001</v>
      </c>
      <c r="D25" s="7">
        <v>37.86</v>
      </c>
      <c r="E25" s="7">
        <f>D25*2080</f>
        <v>78748.800000000003</v>
      </c>
    </row>
    <row r="26" spans="1:6" x14ac:dyDescent="0.35">
      <c r="A26" s="13" t="s">
        <v>86</v>
      </c>
      <c r="B26" s="19">
        <v>37.65</v>
      </c>
      <c r="C26" s="25">
        <f>B26*4%</f>
        <v>1.506</v>
      </c>
      <c r="D26" s="7">
        <v>40.53</v>
      </c>
      <c r="E26" s="7">
        <f>D26*2080</f>
        <v>84302.400000000009</v>
      </c>
    </row>
    <row r="27" spans="1:6" x14ac:dyDescent="0.35">
      <c r="A27" s="13" t="s">
        <v>87</v>
      </c>
      <c r="B27" s="19">
        <v>40.119999999999997</v>
      </c>
      <c r="C27" s="25">
        <f>B27*4%</f>
        <v>1.6048</v>
      </c>
      <c r="D27" s="7">
        <v>43.18</v>
      </c>
      <c r="E27" s="7">
        <f>D27*2080</f>
        <v>89814.399999999994</v>
      </c>
    </row>
    <row r="28" spans="1:6" x14ac:dyDescent="0.35">
      <c r="A28" s="13" t="s">
        <v>89</v>
      </c>
      <c r="B28" s="19">
        <v>42.6</v>
      </c>
      <c r="C28" s="25">
        <f>B28*4%</f>
        <v>1.7040000000000002</v>
      </c>
      <c r="D28" s="7">
        <v>45.85</v>
      </c>
      <c r="E28" s="7">
        <f>D28*2080</f>
        <v>95368</v>
      </c>
    </row>
  </sheetData>
  <mergeCells count="4">
    <mergeCell ref="A23:C23"/>
    <mergeCell ref="A2:D2"/>
    <mergeCell ref="A9:D9"/>
    <mergeCell ref="A16:D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4B76-C698-42F8-BA13-504149EACF60}">
  <dimension ref="A1:E12"/>
  <sheetViews>
    <sheetView workbookViewId="0">
      <selection activeCell="F1" sqref="F1:N16"/>
    </sheetView>
  </sheetViews>
  <sheetFormatPr defaultRowHeight="15" x14ac:dyDescent="0.25"/>
  <cols>
    <col min="1" max="1" width="23" bestFit="1" customWidth="1"/>
    <col min="2" max="2" width="10" hidden="1" customWidth="1"/>
    <col min="3" max="3" width="0" hidden="1" customWidth="1"/>
    <col min="4" max="4" width="10.7109375" bestFit="1" customWidth="1"/>
    <col min="5" max="5" width="18" bestFit="1" customWidth="1"/>
  </cols>
  <sheetData>
    <row r="1" spans="1:5" ht="23.25" x14ac:dyDescent="0.35">
      <c r="A1" s="20" t="s">
        <v>103</v>
      </c>
      <c r="B1" s="20"/>
      <c r="C1" s="20"/>
      <c r="D1" s="6">
        <v>2025</v>
      </c>
      <c r="E1" s="6"/>
    </row>
    <row r="2" spans="1:5" ht="21" x14ac:dyDescent="0.35">
      <c r="A2" s="13" t="s">
        <v>84</v>
      </c>
      <c r="B2" s="19">
        <v>33.64</v>
      </c>
      <c r="C2" s="25">
        <f>B2*3%</f>
        <v>1.0091999999999999</v>
      </c>
      <c r="D2" s="7">
        <v>36.39</v>
      </c>
      <c r="E2" s="7">
        <f>D2*2756</f>
        <v>100290.84</v>
      </c>
    </row>
    <row r="3" spans="1:5" ht="21" x14ac:dyDescent="0.35">
      <c r="A3" s="13" t="s">
        <v>86</v>
      </c>
      <c r="B3" s="19">
        <v>35.700000000000003</v>
      </c>
      <c r="C3" s="25">
        <f>B3*3%</f>
        <v>1.071</v>
      </c>
      <c r="D3" s="7">
        <v>38.61</v>
      </c>
      <c r="E3" s="7">
        <f>D3*2756</f>
        <v>106409.16</v>
      </c>
    </row>
    <row r="4" spans="1:5" ht="21" x14ac:dyDescent="0.35">
      <c r="A4" s="13" t="s">
        <v>87</v>
      </c>
      <c r="B4" s="19">
        <v>37.76</v>
      </c>
      <c r="C4" s="25">
        <f>B4*3%</f>
        <v>1.1327999999999998</v>
      </c>
      <c r="D4" s="7">
        <v>40.840000000000003</v>
      </c>
      <c r="E4" s="7">
        <f>D4*2756</f>
        <v>112555.04000000001</v>
      </c>
    </row>
    <row r="7" spans="1:5" ht="23.25" x14ac:dyDescent="0.35">
      <c r="A7" s="20" t="s">
        <v>104</v>
      </c>
    </row>
    <row r="8" spans="1:5" ht="21" x14ac:dyDescent="0.35">
      <c r="A8" s="6" t="s">
        <v>84</v>
      </c>
      <c r="B8" s="29">
        <v>46.84</v>
      </c>
      <c r="C8" s="30">
        <f>B8*3%</f>
        <v>1.4052</v>
      </c>
      <c r="D8" s="30">
        <v>50.66</v>
      </c>
      <c r="E8" s="30">
        <f>D8*2080</f>
        <v>105372.79999999999</v>
      </c>
    </row>
    <row r="9" spans="1:5" ht="21" x14ac:dyDescent="0.35">
      <c r="A9" s="6" t="s">
        <v>85</v>
      </c>
      <c r="B9" s="29">
        <v>47.87</v>
      </c>
      <c r="C9" s="30">
        <f>B9*3%</f>
        <v>1.4360999999999999</v>
      </c>
      <c r="D9" s="30">
        <v>51.78</v>
      </c>
      <c r="E9" s="30">
        <f>D9*2080</f>
        <v>107702.40000000001</v>
      </c>
    </row>
    <row r="10" spans="1:5" ht="21" x14ac:dyDescent="0.35">
      <c r="A10" s="6" t="s">
        <v>86</v>
      </c>
      <c r="B10" s="29">
        <v>48.9</v>
      </c>
      <c r="C10" s="30">
        <f>B10*3%</f>
        <v>1.4669999999999999</v>
      </c>
      <c r="D10" s="30">
        <v>52.89</v>
      </c>
      <c r="E10" s="30">
        <f>D10*2080</f>
        <v>110011.2</v>
      </c>
    </row>
    <row r="11" spans="1:5" ht="21" x14ac:dyDescent="0.35">
      <c r="A11" s="6" t="s">
        <v>87</v>
      </c>
      <c r="B11" s="29">
        <v>49.93</v>
      </c>
      <c r="C11" s="30">
        <f>B11*3%</f>
        <v>1.4979</v>
      </c>
      <c r="D11" s="30">
        <v>54</v>
      </c>
      <c r="E11" s="30">
        <f>D11*2080</f>
        <v>112320</v>
      </c>
    </row>
    <row r="12" spans="1:5" ht="21" x14ac:dyDescent="0.35">
      <c r="A12" s="6" t="s">
        <v>89</v>
      </c>
      <c r="B12" s="29">
        <v>50.96</v>
      </c>
      <c r="C12" s="30">
        <f>B12*3%</f>
        <v>1.5287999999999999</v>
      </c>
      <c r="D12" s="30">
        <v>55.12</v>
      </c>
      <c r="E12" s="30">
        <f>D12*2080</f>
        <v>114649.59999999999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328D-238D-40C0-B610-EAC343A011F7}">
  <dimension ref="A1:I17"/>
  <sheetViews>
    <sheetView tabSelected="1" zoomScale="145" zoomScaleNormal="145" workbookViewId="0">
      <selection activeCell="D22" sqref="D22"/>
    </sheetView>
  </sheetViews>
  <sheetFormatPr defaultRowHeight="15" x14ac:dyDescent="0.25"/>
  <cols>
    <col min="3" max="3" width="35.42578125" bestFit="1" customWidth="1"/>
    <col min="4" max="4" width="35.42578125" customWidth="1"/>
  </cols>
  <sheetData>
    <row r="1" spans="1:9" x14ac:dyDescent="0.25">
      <c r="A1" s="39" t="s">
        <v>106</v>
      </c>
      <c r="B1" s="40" t="s">
        <v>107</v>
      </c>
      <c r="C1" s="39" t="s">
        <v>108</v>
      </c>
      <c r="D1" s="39" t="s">
        <v>142</v>
      </c>
      <c r="E1" s="39" t="s">
        <v>3</v>
      </c>
      <c r="F1" s="39" t="s">
        <v>4</v>
      </c>
      <c r="G1" s="39" t="s">
        <v>5</v>
      </c>
      <c r="H1" s="39" t="s">
        <v>6</v>
      </c>
      <c r="I1" s="39" t="s">
        <v>7</v>
      </c>
    </row>
    <row r="2" spans="1:9" x14ac:dyDescent="0.25">
      <c r="A2" t="s">
        <v>109</v>
      </c>
      <c r="B2" s="41" t="s">
        <v>110</v>
      </c>
      <c r="C2" t="s">
        <v>111</v>
      </c>
      <c r="D2" t="s">
        <v>143</v>
      </c>
      <c r="E2" s="42">
        <v>13</v>
      </c>
      <c r="F2" s="42">
        <v>13.25</v>
      </c>
      <c r="G2" s="42">
        <v>13.5</v>
      </c>
      <c r="H2" s="42">
        <v>13.75</v>
      </c>
      <c r="I2" s="42">
        <v>14</v>
      </c>
    </row>
    <row r="3" spans="1:9" x14ac:dyDescent="0.25">
      <c r="B3" s="41" t="s">
        <v>110</v>
      </c>
      <c r="C3" t="s">
        <v>112</v>
      </c>
      <c r="D3" t="s">
        <v>144</v>
      </c>
      <c r="E3" s="42">
        <v>13</v>
      </c>
      <c r="F3" s="42">
        <v>13.25</v>
      </c>
      <c r="G3" s="42">
        <v>13.5</v>
      </c>
      <c r="H3" s="42">
        <v>13.75</v>
      </c>
      <c r="I3" s="42">
        <v>14</v>
      </c>
    </row>
    <row r="4" spans="1:9" x14ac:dyDescent="0.25">
      <c r="B4" s="41" t="s">
        <v>110</v>
      </c>
      <c r="C4" t="s">
        <v>113</v>
      </c>
      <c r="D4" t="s">
        <v>145</v>
      </c>
      <c r="E4" s="42">
        <v>13</v>
      </c>
      <c r="F4" s="42">
        <v>13.25</v>
      </c>
      <c r="G4" s="42">
        <v>13.5</v>
      </c>
      <c r="H4" s="42">
        <v>13.75</v>
      </c>
      <c r="I4" s="42">
        <v>14</v>
      </c>
    </row>
    <row r="5" spans="1:9" x14ac:dyDescent="0.25">
      <c r="A5" s="43" t="s">
        <v>114</v>
      </c>
      <c r="B5" s="44" t="s">
        <v>115</v>
      </c>
      <c r="C5" s="43" t="s">
        <v>116</v>
      </c>
      <c r="D5" s="43" t="s">
        <v>146</v>
      </c>
      <c r="E5" s="45">
        <v>14</v>
      </c>
      <c r="F5" s="45">
        <v>14.25</v>
      </c>
      <c r="G5" s="45">
        <v>14.5</v>
      </c>
      <c r="H5" s="45">
        <v>14.75</v>
      </c>
      <c r="I5" s="45">
        <v>15</v>
      </c>
    </row>
    <row r="6" spans="1:9" x14ac:dyDescent="0.25">
      <c r="A6" s="43"/>
      <c r="B6" s="44" t="s">
        <v>115</v>
      </c>
      <c r="C6" s="43" t="s">
        <v>117</v>
      </c>
      <c r="D6" s="43" t="s">
        <v>144</v>
      </c>
      <c r="E6" s="45">
        <v>14</v>
      </c>
      <c r="F6" s="45">
        <v>14.25</v>
      </c>
      <c r="G6" s="45">
        <v>14.5</v>
      </c>
      <c r="H6" s="45">
        <v>14.75</v>
      </c>
      <c r="I6" s="45">
        <v>15</v>
      </c>
    </row>
    <row r="7" spans="1:9" x14ac:dyDescent="0.25">
      <c r="A7" t="s">
        <v>118</v>
      </c>
      <c r="B7" s="41" t="s">
        <v>119</v>
      </c>
      <c r="C7" t="s">
        <v>120</v>
      </c>
      <c r="D7" t="s">
        <v>147</v>
      </c>
      <c r="E7" s="42">
        <v>14.25</v>
      </c>
      <c r="F7" s="63"/>
      <c r="G7" s="63"/>
      <c r="H7" s="63"/>
      <c r="I7" s="63"/>
    </row>
    <row r="8" spans="1:9" x14ac:dyDescent="0.25">
      <c r="A8" s="43" t="s">
        <v>121</v>
      </c>
      <c r="B8" s="44" t="s">
        <v>122</v>
      </c>
      <c r="C8" s="43" t="s">
        <v>123</v>
      </c>
      <c r="D8" s="43" t="s">
        <v>144</v>
      </c>
      <c r="E8" s="45">
        <v>15</v>
      </c>
      <c r="F8" s="45">
        <v>15.25</v>
      </c>
      <c r="G8" s="45">
        <v>15.5</v>
      </c>
      <c r="H8" s="45">
        <v>15.75</v>
      </c>
      <c r="I8" s="45">
        <v>16</v>
      </c>
    </row>
    <row r="9" spans="1:9" x14ac:dyDescent="0.25">
      <c r="A9" s="43"/>
      <c r="B9" s="44" t="s">
        <v>122</v>
      </c>
      <c r="C9" s="43" t="s">
        <v>124</v>
      </c>
      <c r="D9" s="43" t="s">
        <v>146</v>
      </c>
      <c r="E9" s="45">
        <v>15</v>
      </c>
      <c r="F9" s="45">
        <v>15.25</v>
      </c>
      <c r="G9" s="45">
        <v>15.5</v>
      </c>
      <c r="H9" s="45">
        <v>15.75</v>
      </c>
      <c r="I9" s="45">
        <v>16</v>
      </c>
    </row>
    <row r="10" spans="1:9" x14ac:dyDescent="0.25">
      <c r="A10" s="43"/>
      <c r="B10" s="44" t="s">
        <v>122</v>
      </c>
      <c r="C10" s="43" t="s">
        <v>125</v>
      </c>
      <c r="D10" s="43" t="s">
        <v>149</v>
      </c>
      <c r="E10" s="45">
        <v>15</v>
      </c>
      <c r="F10" s="45">
        <v>15.25</v>
      </c>
      <c r="G10" s="45">
        <v>15.5</v>
      </c>
      <c r="H10" s="45">
        <v>15.75</v>
      </c>
      <c r="I10" s="45">
        <v>16</v>
      </c>
    </row>
    <row r="11" spans="1:9" x14ac:dyDescent="0.25">
      <c r="A11" s="43"/>
      <c r="B11" s="44" t="s">
        <v>148</v>
      </c>
      <c r="C11" s="43" t="s">
        <v>125</v>
      </c>
      <c r="D11" s="43" t="s">
        <v>150</v>
      </c>
      <c r="E11" s="45">
        <v>16.5</v>
      </c>
      <c r="F11" s="45">
        <v>16.75</v>
      </c>
      <c r="G11" s="45">
        <v>17</v>
      </c>
      <c r="H11" s="45">
        <v>17.25</v>
      </c>
      <c r="I11" s="45">
        <v>17.5</v>
      </c>
    </row>
    <row r="12" spans="1:9" x14ac:dyDescent="0.25">
      <c r="A12" t="s">
        <v>126</v>
      </c>
      <c r="B12" s="41" t="s">
        <v>127</v>
      </c>
      <c r="C12" t="s">
        <v>128</v>
      </c>
      <c r="D12" s="43" t="s">
        <v>144</v>
      </c>
      <c r="E12" s="46">
        <v>15.5</v>
      </c>
      <c r="F12" s="46">
        <v>15.75</v>
      </c>
      <c r="G12" s="46">
        <v>16</v>
      </c>
      <c r="H12" s="46">
        <v>16.25</v>
      </c>
      <c r="I12" s="46">
        <v>16.5</v>
      </c>
    </row>
    <row r="13" spans="1:9" x14ac:dyDescent="0.25">
      <c r="A13" s="43" t="s">
        <v>129</v>
      </c>
      <c r="B13" s="44" t="s">
        <v>130</v>
      </c>
      <c r="C13" s="43" t="s">
        <v>131</v>
      </c>
      <c r="D13" s="43" t="s">
        <v>144</v>
      </c>
      <c r="E13" s="47">
        <v>16</v>
      </c>
      <c r="F13" s="47">
        <v>16.25</v>
      </c>
      <c r="G13" s="47">
        <v>16.5</v>
      </c>
      <c r="H13" s="47">
        <v>16.75</v>
      </c>
      <c r="I13" s="47">
        <v>17</v>
      </c>
    </row>
    <row r="14" spans="1:9" x14ac:dyDescent="0.25">
      <c r="A14" s="43"/>
      <c r="B14" s="44" t="s">
        <v>130</v>
      </c>
      <c r="C14" s="43" t="s">
        <v>132</v>
      </c>
      <c r="D14" s="43" t="s">
        <v>144</v>
      </c>
      <c r="E14" s="47">
        <v>16</v>
      </c>
      <c r="F14" s="47">
        <v>16.25</v>
      </c>
      <c r="G14" s="47">
        <v>16.5</v>
      </c>
      <c r="H14" s="47">
        <v>16.75</v>
      </c>
      <c r="I14" s="47">
        <v>17</v>
      </c>
    </row>
    <row r="15" spans="1:9" x14ac:dyDescent="0.25">
      <c r="A15" t="s">
        <v>133</v>
      </c>
      <c r="B15" s="41" t="s">
        <v>134</v>
      </c>
      <c r="C15" t="s">
        <v>135</v>
      </c>
      <c r="D15" s="43" t="s">
        <v>144</v>
      </c>
      <c r="E15" s="46">
        <v>18</v>
      </c>
      <c r="F15" s="46">
        <v>18.25</v>
      </c>
      <c r="G15" s="46">
        <v>18.5</v>
      </c>
      <c r="H15" s="46">
        <v>18.75</v>
      </c>
      <c r="I15" s="46">
        <v>19</v>
      </c>
    </row>
    <row r="16" spans="1:9" x14ac:dyDescent="0.25">
      <c r="A16" t="s">
        <v>136</v>
      </c>
      <c r="B16" s="41" t="s">
        <v>137</v>
      </c>
      <c r="C16" t="s">
        <v>141</v>
      </c>
      <c r="E16" s="46">
        <v>18</v>
      </c>
      <c r="F16" s="62"/>
      <c r="G16" s="62"/>
      <c r="H16" s="62"/>
      <c r="I16" s="62"/>
    </row>
    <row r="17" spans="1:9" x14ac:dyDescent="0.25">
      <c r="A17" s="43" t="s">
        <v>140</v>
      </c>
      <c r="B17" s="44" t="s">
        <v>139</v>
      </c>
      <c r="C17" s="43" t="s">
        <v>138</v>
      </c>
      <c r="D17" s="43"/>
      <c r="E17" s="45">
        <v>20</v>
      </c>
      <c r="F17" s="61"/>
      <c r="G17" s="61"/>
      <c r="H17" s="61"/>
      <c r="I17" s="61"/>
    </row>
  </sheetData>
  <autoFilter ref="D1:D17" xr:uid="{4869328D-238D-40C0-B610-EAC343A011F7}"/>
  <mergeCells count="3">
    <mergeCell ref="F17:I17"/>
    <mergeCell ref="F16:I16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Non-Union Positions</vt:lpstr>
      <vt:lpstr>49ers - Public Works</vt:lpstr>
      <vt:lpstr>49ers - Parks</vt:lpstr>
      <vt:lpstr>LELS</vt:lpstr>
      <vt:lpstr>IAFF</vt:lpstr>
      <vt:lpstr>Teamsters</vt:lpstr>
      <vt:lpstr>Seasonal &amp; Intern</vt:lpstr>
    </vt:vector>
  </TitlesOfParts>
  <Company>City of Hastings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Schlei</dc:creator>
  <cp:lastModifiedBy>Megan Schlei</cp:lastModifiedBy>
  <cp:lastPrinted>2023-07-18T16:10:48Z</cp:lastPrinted>
  <dcterms:created xsi:type="dcterms:W3CDTF">2022-08-23T21:00:50Z</dcterms:created>
  <dcterms:modified xsi:type="dcterms:W3CDTF">2025-02-11T17:04:13Z</dcterms:modified>
</cp:coreProperties>
</file>